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firstSheet="2" activeTab="2"/>
  </bookViews>
  <sheets>
    <sheet name="AVANI Sepang" sheetId="2" state="hidden" r:id="rId1"/>
    <sheet name="Luxe Manor HK" sheetId="3" state="hidden" r:id="rId2"/>
    <sheet name="Meetings &amp; Equipment" sheetId="23" r:id="rId3"/>
    <sheet name="Private Events" sheetId="25" r:id="rId4"/>
    <sheet name="Food" sheetId="21" r:id="rId5"/>
    <sheet name="Beverage" sheetId="22" r:id="rId6"/>
    <sheet name="Bubu Resort" sheetId="5" state="hidden" r:id="rId7"/>
    <sheet name="Alma" sheetId="6" state="hidden" r:id="rId8"/>
    <sheet name="Eastiny" sheetId="7" state="hidden" r:id="rId9"/>
    <sheet name="The Scarlet" sheetId="8" state="hidden" r:id="rId10"/>
    <sheet name="Langham" sheetId="9" state="hidden" r:id="rId11"/>
    <sheet name="Harbour Plaza Hotels" sheetId="10" state="hidden" r:id="rId12"/>
    <sheet name="CCR" sheetId="11" state="hidden" r:id="rId13"/>
    <sheet name="GHM (Chedi Ubud)" sheetId="12" state="hidden" r:id="rId14"/>
    <sheet name="Silks Hotel Group" sheetId="13" state="hidden" r:id="rId15"/>
    <sheet name="Eastiny Revenue Predictions" sheetId="14" state="hidden" r:id="rId16"/>
    <sheet name="Amatra Hotels" sheetId="15" state="hidden" r:id="rId17"/>
    <sheet name="Sheet4" sheetId="16" state="hidden" r:id="rId18"/>
    <sheet name="DEVELOPMENT (DON'T USE)" sheetId="17" state="hidden" r:id="rId19"/>
    <sheet name="Reference Sheet" sheetId="18" state="hidden" r:id="rId20"/>
    <sheet name="OLD" sheetId="19" state="hidden" r:id="rId21"/>
  </sheets>
  <calcPr calcId="144525"/>
</workbook>
</file>

<file path=xl/sharedStrings.xml><?xml version="1.0" encoding="utf-8"?>
<sst xmlns="http://schemas.openxmlformats.org/spreadsheetml/2006/main" count="1695" uniqueCount="354">
  <si>
    <t>AVANI Sepang Hotel Sample ROI</t>
  </si>
  <si>
    <t>YELLOW = INPUTS</t>
  </si>
  <si>
    <t>BLUE = BENCHMARK</t>
  </si>
  <si>
    <t>INPUTS</t>
  </si>
  <si>
    <t>EXECUTION</t>
  </si>
  <si>
    <t>PERFORMANCE</t>
  </si>
  <si>
    <t>REVENUE</t>
  </si>
  <si>
    <t>Sends</t>
  </si>
  <si>
    <t>Conv.</t>
  </si>
  <si>
    <t>Database</t>
  </si>
  <si>
    <t>Auto. Conv.</t>
  </si>
  <si>
    <t>Upsell</t>
  </si>
  <si>
    <t># OF HOTELS</t>
  </si>
  <si>
    <t>DATABASE</t>
  </si>
  <si>
    <t>GLOBAL</t>
  </si>
  <si>
    <t>$ HOTEL ADR</t>
  </si>
  <si>
    <t>EMAIL CAPTURE RATE</t>
  </si>
  <si>
    <t>NEW PROFILES PER MONTH</t>
  </si>
  <si>
    <t>MONTHLY VALUE ADDED</t>
  </si>
  <si>
    <t>AMERICAS</t>
  </si>
  <si>
    <t>AVG STAY DURATION</t>
  </si>
  <si>
    <t>EMEA</t>
  </si>
  <si>
    <t>ONE-TIME CAMPAIGNS</t>
  </si>
  <si>
    <t>APAC</t>
  </si>
  <si>
    <t>REACHABLE PROFILES</t>
  </si>
  <si>
    <t># OF CAMPAIGNS</t>
  </si>
  <si>
    <t>EMAILS PER MONTH</t>
  </si>
  <si>
    <t>MONTHLY REVENUE</t>
  </si>
  <si>
    <t># OF ROOMS</t>
  </si>
  <si>
    <t>CONVERSION RATE</t>
  </si>
  <si>
    <t>% AVG OCCUPANCY</t>
  </si>
  <si>
    <t>AUTOMATED EMAILS</t>
  </si>
  <si>
    <t>ROOM NIGHTS GENERATED</t>
  </si>
  <si>
    <t>AUTOMATED CAMPAIGNS</t>
  </si>
  <si>
    <t>EMAIL CAPTURE</t>
  </si>
  <si>
    <t>% DIRECT</t>
  </si>
  <si>
    <t>UPSELLS</t>
  </si>
  <si>
    <t># ROOM TURNOVER</t>
  </si>
  <si>
    <t>Yes</t>
  </si>
  <si>
    <t>BENCHMARK</t>
  </si>
  <si>
    <t>REGION</t>
  </si>
  <si>
    <t>COST</t>
  </si>
  <si>
    <t>TRIP ADVISOR STARS</t>
  </si>
  <si>
    <t>UPSELL OPPORTUNITIES</t>
  </si>
  <si>
    <t>ONE-TIME COSTS</t>
  </si>
  <si>
    <t># CAMPAIGNS</t>
  </si>
  <si>
    <t>AVG COST</t>
  </si>
  <si>
    <t>SETUP COST / HOTEL</t>
  </si>
  <si>
    <t>TOTAL SETUP</t>
  </si>
  <si>
    <t>AVG UPSELL VALUE</t>
  </si>
  <si>
    <t>RECURRING COSTS</t>
  </si>
  <si>
    <t>MONTHLY PAYMENTS</t>
  </si>
  <si>
    <t>TRIP ADVISOR</t>
  </si>
  <si>
    <t>TOTAL MONTHLY</t>
  </si>
  <si>
    <t>ONE-TIME MULT.</t>
  </si>
  <si>
    <t>AUTO. MULT.</t>
  </si>
  <si>
    <t>MONTHLY</t>
  </si>
  <si>
    <t>FIRST YEAR</t>
  </si>
  <si>
    <t>NET REVENUE</t>
  </si>
  <si>
    <t>Category</t>
  </si>
  <si>
    <t>Item</t>
  </si>
  <si>
    <t xml:space="preserve">Price </t>
  </si>
  <si>
    <t>Price per person/item (incl 10% service charge &amp; 16% GST)</t>
  </si>
  <si>
    <t>Remarks</t>
  </si>
  <si>
    <t>Additional hour</t>
  </si>
  <si>
    <t>Min number of guests</t>
  </si>
  <si>
    <t>Conference packages</t>
  </si>
  <si>
    <t>Full Day Meeting package (per person)</t>
  </si>
  <si>
    <t>Venue: HQ Conference Room, 70 sq.m.;
Inclusions: set up, water, cookies, coffee, tea x 2, writing amenity and LCD with screen</t>
  </si>
  <si>
    <t>n/a</t>
  </si>
  <si>
    <t>20 pax min / 50 max theater</t>
  </si>
  <si>
    <t>Half Day Meeting package  (per person)</t>
  </si>
  <si>
    <t>Venue: HQ Conference Room, 70 sq.m.;
Inclusions: set up, water, cookies, coffee, tea x 1, writing amenity and LCD with screen</t>
  </si>
  <si>
    <t>Equipment</t>
  </si>
  <si>
    <t>Projector + Screen (8' x 4')</t>
  </si>
  <si>
    <t>4 hours</t>
  </si>
  <si>
    <t xml:space="preserve">Additional Screen (8' x 4') </t>
  </si>
  <si>
    <t xml:space="preserve">Additional Projector </t>
  </si>
  <si>
    <t xml:space="preserve">2 Speakers + Microphone </t>
  </si>
  <si>
    <r>
      <rPr>
        <sz val="11"/>
        <color rgb="FF000000"/>
        <rFont val="等线"/>
        <charset val="134"/>
        <scheme val="minor"/>
      </rPr>
      <t>Stage (8' x 16")</t>
    </r>
    <r>
      <rPr>
        <sz val="11"/>
        <color rgb="FFFF0000"/>
        <rFont val="等线"/>
        <charset val="134"/>
        <scheme val="minor"/>
      </rPr>
      <t xml:space="preserve">  </t>
    </r>
  </si>
  <si>
    <t>Venue rental</t>
  </si>
  <si>
    <t>Marquee Rental ( 4 hours)</t>
  </si>
  <si>
    <t>without Air Cond // 4 hours</t>
  </si>
  <si>
    <t>with Air Cond // 4 hours</t>
  </si>
  <si>
    <t>Venue</t>
  </si>
  <si>
    <t>Time</t>
  </si>
  <si>
    <t>Price ++</t>
  </si>
  <si>
    <t>Number of guests</t>
  </si>
  <si>
    <t>Additional person</t>
  </si>
  <si>
    <t>Includes</t>
  </si>
  <si>
    <t>Private Events</t>
  </si>
  <si>
    <t>Private Karaoke set up (NA)</t>
  </si>
  <si>
    <t>Forbidden bar</t>
  </si>
  <si>
    <t>3 hours</t>
  </si>
  <si>
    <t>Min 2 pax - max 50 pax</t>
  </si>
  <si>
    <t>Set up</t>
  </si>
  <si>
    <t xml:space="preserve">Private Cinema </t>
  </si>
  <si>
    <t xml:space="preserve">Zest Beach </t>
  </si>
  <si>
    <t>min 2 pax - 9 pax</t>
  </si>
  <si>
    <t>Set up + movie +popcorn</t>
  </si>
  <si>
    <t>Private Group cinema</t>
  </si>
  <si>
    <t>Min 10 pax</t>
  </si>
  <si>
    <t xml:space="preserve">Chillout beach sessions </t>
  </si>
  <si>
    <t>Zest beach</t>
  </si>
  <si>
    <t>min 30 pax</t>
  </si>
  <si>
    <t>Setup+ DJ</t>
  </si>
  <si>
    <t xml:space="preserve">K'Pool Party </t>
  </si>
  <si>
    <t xml:space="preserve">Beach club </t>
  </si>
  <si>
    <t xml:space="preserve">K'Beach Party </t>
  </si>
  <si>
    <t>Beach club, Zest beach</t>
  </si>
  <si>
    <t>K'White Party</t>
  </si>
  <si>
    <t>Golden Sunset bubbly session</t>
  </si>
  <si>
    <t>Snorkeling jetty</t>
  </si>
  <si>
    <t>2 hour</t>
  </si>
  <si>
    <t>Min 10 pax - Max 20 pax</t>
  </si>
  <si>
    <t>Setup+ Background music</t>
  </si>
  <si>
    <t xml:space="preserve">Golden Sunset bubbly sesion </t>
  </si>
  <si>
    <t>Kakuni point</t>
  </si>
  <si>
    <t>Set up +Background music</t>
  </si>
  <si>
    <t>KULA festival</t>
  </si>
  <si>
    <t>Beach</t>
  </si>
  <si>
    <t>from 4.30 PM till 6.30 PM</t>
  </si>
  <si>
    <t>Min 50 pax</t>
  </si>
  <si>
    <r>
      <rPr>
        <sz val="11"/>
        <rFont val="等线"/>
        <charset val="134"/>
        <scheme val="minor"/>
      </rPr>
      <t xml:space="preserve">*Art class ( body painting)
*Volleyball
*Beer fishing
*Beer jug
*Football game
*Kula run with colors
*Water and juices
</t>
    </r>
    <r>
      <rPr>
        <b/>
        <sz val="11"/>
        <rFont val="等线"/>
        <charset val="134"/>
        <scheme val="minor"/>
      </rPr>
      <t>DJ is for additional charge</t>
    </r>
  </si>
  <si>
    <t>Music</t>
  </si>
  <si>
    <t xml:space="preserve">2 pcs Band with light and sound </t>
  </si>
  <si>
    <t>2 hours</t>
  </si>
  <si>
    <t xml:space="preserve">3 pcs Band with light and sound </t>
  </si>
  <si>
    <t>Solo Guitar</t>
  </si>
  <si>
    <t xml:space="preserve">Full Band with light and sound </t>
  </si>
  <si>
    <t>DJ + Sound</t>
  </si>
  <si>
    <t>DJ + light + dance floor + sound</t>
  </si>
  <si>
    <t>Traditional Maldivian Boduberu</t>
  </si>
  <si>
    <t>Private Master classes</t>
  </si>
  <si>
    <t>K'mixologist Class - Art of crafting cocktail</t>
  </si>
  <si>
    <t>price per person</t>
  </si>
  <si>
    <t xml:space="preserve">6 pax min / 20 pax max </t>
  </si>
  <si>
    <t>Wine &amp; Cheese tasting Class</t>
  </si>
  <si>
    <t>10 pax min / 20 pax max</t>
  </si>
  <si>
    <t>Lagoon Wine &amp; Cheese tasting Class</t>
  </si>
  <si>
    <t>Barista Latte Art Class</t>
  </si>
  <si>
    <t xml:space="preserve">Aroma </t>
  </si>
  <si>
    <t>5 pax min / 10 pax max</t>
  </si>
  <si>
    <t>Traditional Maldivian artcraft Class</t>
  </si>
  <si>
    <t xml:space="preserve">Azure </t>
  </si>
  <si>
    <t>Cooking class</t>
  </si>
  <si>
    <t>Azure/smoked/sea dragon</t>
  </si>
  <si>
    <t>4 pax</t>
  </si>
  <si>
    <t>Yoga class (price per person)</t>
  </si>
  <si>
    <t>Yoga pavillion</t>
  </si>
  <si>
    <t>30 mins</t>
  </si>
  <si>
    <t>max 6 pax</t>
  </si>
  <si>
    <t>Sunset Yoga class (price per person)</t>
  </si>
  <si>
    <t>max 20 pax</t>
  </si>
  <si>
    <t>Excursions</t>
  </si>
  <si>
    <t>Sunset cruise (price per person)</t>
  </si>
  <si>
    <t>Aquaholics</t>
  </si>
  <si>
    <t>1 hour</t>
  </si>
  <si>
    <t>Dolphin Quest (price per person)</t>
  </si>
  <si>
    <t>1.5 hours</t>
  </si>
  <si>
    <t>Traditional Maldivian Sunset fishing</t>
  </si>
  <si>
    <t>Turtle quest (price per person)</t>
  </si>
  <si>
    <r>
      <rPr>
        <b/>
        <sz val="11"/>
        <color theme="0"/>
        <rFont val="等线"/>
        <charset val="134"/>
        <scheme val="minor"/>
      </rPr>
      <t xml:space="preserve">Food </t>
    </r>
    <r>
      <rPr>
        <b/>
        <sz val="11"/>
        <color rgb="FF33CCCC"/>
        <rFont val="等线"/>
        <charset val="134"/>
        <scheme val="minor"/>
      </rPr>
      <t>(Beverage not included)</t>
    </r>
  </si>
  <si>
    <t>Price per person (incl 10% service charge &amp; 16% GST)</t>
  </si>
  <si>
    <t>Buffet 
(main restaurants)</t>
  </si>
  <si>
    <t>Buffet Breakfast</t>
  </si>
  <si>
    <t>No</t>
  </si>
  <si>
    <t>Zest or Flavour</t>
  </si>
  <si>
    <t>with other guests</t>
  </si>
  <si>
    <t>Buffet Lunch</t>
  </si>
  <si>
    <t>Buffet Dinner</t>
  </si>
  <si>
    <r>
      <rPr>
        <sz val="11"/>
        <color theme="0"/>
        <rFont val="等线"/>
        <charset val="134"/>
        <scheme val="minor"/>
      </rPr>
      <t>Beach Dinner</t>
    </r>
    <r>
      <rPr>
        <sz val="11"/>
        <color rgb="FF33CCCC"/>
        <rFont val="等线"/>
        <charset val="134"/>
        <scheme val="minor"/>
      </rPr>
      <t>*</t>
    </r>
  </si>
  <si>
    <t>International BBQ</t>
  </si>
  <si>
    <t>Set Indian</t>
  </si>
  <si>
    <t>Barefoot BBQ</t>
  </si>
  <si>
    <t>Indian dinner buffet (V)</t>
  </si>
  <si>
    <t>Indian buffet Mix</t>
  </si>
  <si>
    <t>Meat BBQ menu</t>
  </si>
  <si>
    <t>Mix buffet</t>
  </si>
  <si>
    <t>Seafood BBQ Menu without Lobster</t>
  </si>
  <si>
    <t xml:space="preserve">Seafood BBQ with Lobster </t>
  </si>
  <si>
    <t>Maldivian BBQ night</t>
  </si>
  <si>
    <r>
      <rPr>
        <sz val="11"/>
        <color theme="0"/>
        <rFont val="等线"/>
        <charset val="134"/>
        <scheme val="minor"/>
      </rPr>
      <t>Private Set Dinner</t>
    </r>
    <r>
      <rPr>
        <sz val="11"/>
        <color rgb="FF33CCCC"/>
        <rFont val="等线"/>
        <charset val="134"/>
        <scheme val="minor"/>
      </rPr>
      <t>*</t>
    </r>
  </si>
  <si>
    <t xml:space="preserve">Set Western </t>
  </si>
  <si>
    <t>Azure</t>
  </si>
  <si>
    <t>Set Asian</t>
  </si>
  <si>
    <t>Sea Dragon</t>
  </si>
  <si>
    <t>Set Mixed Grill</t>
  </si>
  <si>
    <t xml:space="preserve">Smoked </t>
  </si>
  <si>
    <t>Destination Dining</t>
  </si>
  <si>
    <t>Beach Vegetarian</t>
  </si>
  <si>
    <t>2 pax / 20 pax</t>
  </si>
  <si>
    <t xml:space="preserve">Beach Grill </t>
  </si>
  <si>
    <t>Beach Lobster BBQ</t>
  </si>
  <si>
    <r>
      <rPr>
        <sz val="11"/>
        <color theme="0"/>
        <rFont val="等线"/>
        <charset val="134"/>
        <scheme val="minor"/>
      </rPr>
      <t>Canape</t>
    </r>
    <r>
      <rPr>
        <sz val="11"/>
        <color rgb="FF33CCCC"/>
        <rFont val="等线"/>
        <charset val="134"/>
        <scheme val="minor"/>
      </rPr>
      <t>*</t>
    </r>
  </si>
  <si>
    <t>Canape option 1 (Meat)</t>
  </si>
  <si>
    <t xml:space="preserve">10 pax min </t>
  </si>
  <si>
    <t>Canape option 2 (Seafood)</t>
  </si>
  <si>
    <t>Canape option 3 (Veg)</t>
  </si>
  <si>
    <t>Canape option 4 (Indian)</t>
  </si>
  <si>
    <t>10 pax min</t>
  </si>
  <si>
    <t>Coffee break</t>
  </si>
  <si>
    <t>Tea/coffee/water/soft drinks break</t>
  </si>
  <si>
    <r>
      <rPr>
        <b/>
        <sz val="11"/>
        <color rgb="FF33CCCC"/>
        <rFont val="等线"/>
        <charset val="134"/>
        <scheme val="minor"/>
      </rPr>
      <t xml:space="preserve">* </t>
    </r>
    <r>
      <rPr>
        <sz val="11"/>
        <color theme="0"/>
        <rFont val="等线"/>
        <charset val="134"/>
        <scheme val="minor"/>
      </rPr>
      <t>Private set-up fee may apply (depends on request): $61.6 /per person (minimum : $61.6 x 50)</t>
    </r>
  </si>
  <si>
    <r>
      <rPr>
        <b/>
        <sz val="11"/>
        <color theme="0"/>
        <rFont val="等线"/>
        <charset val="134"/>
        <scheme val="minor"/>
      </rPr>
      <t xml:space="preserve">Beverage Packages 
</t>
    </r>
    <r>
      <rPr>
        <sz val="11"/>
        <color rgb="FF33CCCC"/>
        <rFont val="等线"/>
        <charset val="134"/>
        <scheme val="minor"/>
      </rPr>
      <t>(Below listed items are subjected to availability)</t>
    </r>
  </si>
  <si>
    <t xml:space="preserve">K' Easy Beverage </t>
  </si>
  <si>
    <t>K' Kool Beverage</t>
  </si>
  <si>
    <t>K' Hard Beverage</t>
  </si>
  <si>
    <t>K'Freedom</t>
  </si>
  <si>
    <t>2 Hours free flow</t>
  </si>
  <si>
    <t>Minimum number of guests</t>
  </si>
  <si>
    <t>10 pax minimum</t>
  </si>
  <si>
    <t>Price per person  (incl 10% service charge &amp; 16% GST)</t>
  </si>
  <si>
    <t>Subsequent Hour</t>
  </si>
  <si>
    <t>Subsequent Hour/ per person</t>
  </si>
  <si>
    <t>House Spirits (Brands depends on availability)</t>
  </si>
  <si>
    <t>Premium Spirits (Brands depends on availability)</t>
  </si>
  <si>
    <t>Vodka</t>
  </si>
  <si>
    <t>Aperitif</t>
  </si>
  <si>
    <t>Gin</t>
  </si>
  <si>
    <t>Smirnoff</t>
  </si>
  <si>
    <t>Campari</t>
  </si>
  <si>
    <t>Rum</t>
  </si>
  <si>
    <t>Stolinkaya</t>
  </si>
  <si>
    <t>Aperol</t>
  </si>
  <si>
    <t>Whiskey</t>
  </si>
  <si>
    <t>House Beers</t>
  </si>
  <si>
    <t>Gordon's</t>
  </si>
  <si>
    <t>Smirnoff red</t>
  </si>
  <si>
    <t xml:space="preserve">Can Beer </t>
  </si>
  <si>
    <t>Beefeater</t>
  </si>
  <si>
    <t>Absolute Blue</t>
  </si>
  <si>
    <t>Carlberg</t>
  </si>
  <si>
    <t xml:space="preserve">Grey Goose </t>
  </si>
  <si>
    <t>San miguel</t>
  </si>
  <si>
    <t xml:space="preserve">Rum </t>
  </si>
  <si>
    <t>Soft Drinks</t>
  </si>
  <si>
    <t>Bacardi White</t>
  </si>
  <si>
    <t>Coca Cola</t>
  </si>
  <si>
    <t>Bacardi Gold</t>
  </si>
  <si>
    <t>Gordons</t>
  </si>
  <si>
    <t>Sprite</t>
  </si>
  <si>
    <t>Fanta</t>
  </si>
  <si>
    <t>Bombay Saphire</t>
  </si>
  <si>
    <t>Bitter Lemon</t>
  </si>
  <si>
    <t>Tonic Water</t>
  </si>
  <si>
    <t>JW Red Label</t>
  </si>
  <si>
    <t>Soda Water</t>
  </si>
  <si>
    <t>Balantines</t>
  </si>
  <si>
    <t>Juices (Tetra Pack)</t>
  </si>
  <si>
    <t>Brandy</t>
  </si>
  <si>
    <t>Captain Morgan Spice Gold</t>
  </si>
  <si>
    <t>Apple Juice</t>
  </si>
  <si>
    <t>St Remy VSOP</t>
  </si>
  <si>
    <t>Havana Club 3yrs</t>
  </si>
  <si>
    <t>Orange Juice</t>
  </si>
  <si>
    <t>Pineapple Juice</t>
  </si>
  <si>
    <t>Beers</t>
  </si>
  <si>
    <t>Mango Juice</t>
  </si>
  <si>
    <t>San Miguel</t>
  </si>
  <si>
    <t>Cranberry Juice</t>
  </si>
  <si>
    <t>Carlsberg</t>
  </si>
  <si>
    <t>JW Black Label</t>
  </si>
  <si>
    <t>House Wines (by glass)</t>
  </si>
  <si>
    <t>Chivas Regal 12Yrs</t>
  </si>
  <si>
    <t>White Wine</t>
  </si>
  <si>
    <t>Rose' Wine</t>
  </si>
  <si>
    <t>Red Wine</t>
  </si>
  <si>
    <t>Cognac</t>
  </si>
  <si>
    <t>Still Water</t>
  </si>
  <si>
    <t>Henessey VS</t>
  </si>
  <si>
    <t>Bonaqua, Sparkling</t>
  </si>
  <si>
    <t>Beers (Can)</t>
  </si>
  <si>
    <t>Corona Beer</t>
  </si>
  <si>
    <t>Corona beer</t>
  </si>
  <si>
    <t>Wines (by glass)</t>
  </si>
  <si>
    <t>Prosecco</t>
  </si>
  <si>
    <t>Bonaqua</t>
  </si>
  <si>
    <t>Sparkling</t>
  </si>
  <si>
    <t>House Champagne</t>
  </si>
  <si>
    <t xml:space="preserve">Sparkling </t>
  </si>
  <si>
    <t>Silks Hotel Sample ROI</t>
  </si>
  <si>
    <t>The Scarlet Hotel Sample ROI</t>
  </si>
  <si>
    <t>Harbour Plaza ROI</t>
  </si>
  <si>
    <t>Chedi Tanah Gajah ROI Estimations</t>
  </si>
  <si>
    <t>Silks Hotel ROI</t>
  </si>
  <si>
    <t xml:space="preserve"># of Rooms </t>
  </si>
  <si>
    <t>ADR</t>
  </si>
  <si>
    <t>Regent Taipei</t>
  </si>
  <si>
    <t>Silks Place Yilan</t>
  </si>
  <si>
    <t>Silks Place Taroko</t>
  </si>
  <si>
    <t>Silks Place Tainan</t>
  </si>
  <si>
    <t>Wellspring By Silks</t>
  </si>
  <si>
    <t>Silks Club Kaohsiung</t>
  </si>
  <si>
    <t>AMATRA ROI Estimations</t>
  </si>
  <si>
    <t>Global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</si>
  <si>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</si>
  <si>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</si>
  <si>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</si>
  <si>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</si>
  <si>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</si>
  <si>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</si>
  <si>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</si>
  <si>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</si>
  <si>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</si>
  <si>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</si>
  <si>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</si>
  <si>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</si>
  <si>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Assumptions</t>
  </si>
  <si>
    <t>Database Growth Rates</t>
  </si>
  <si>
    <t xml:space="preserve"># Rooms </t>
  </si>
  <si>
    <t>Upsell Revenue</t>
  </si>
  <si>
    <t>Occupancy</t>
  </si>
  <si>
    <t>LOS</t>
  </si>
  <si>
    <t>Americas</t>
  </si>
  <si>
    <t>ONE-TIME EMAIL CAMPAIGNS</t>
  </si>
  <si>
    <t>GEOGRAPHY</t>
  </si>
  <si>
    <t>Avg # of Emails Sent (Per Month)</t>
  </si>
  <si>
    <t>% Avg Open Rate</t>
  </si>
  <si>
    <t>% Avg Click Rate</t>
  </si>
  <si>
    <t>% Avg Conversion Rate</t>
  </si>
  <si>
    <t>BUCKETS</t>
  </si>
  <si>
    <t>Germany, Austria, Switzerland</t>
  </si>
  <si>
    <t>UK (London), Ireland</t>
  </si>
  <si>
    <t>Belgium, Luxembourg, Netherlands</t>
  </si>
  <si>
    <t>Denmark, Sweden, Norway, Finland</t>
  </si>
  <si>
    <t>Canada</t>
  </si>
  <si>
    <t>New York (State)</t>
  </si>
  <si>
    <t>DATABASE / HOTEL</t>
  </si>
  <si>
    <t># Avg Reachable Profiles</t>
  </si>
  <si>
    <t>Avg # of Rooms</t>
  </si>
  <si>
    <t>Profiles Per Room</t>
  </si>
  <si>
    <t>NORTH AMERICA</t>
  </si>
  <si>
    <t>HOTEL INPUTS</t>
  </si>
  <si>
    <t>PROJECTION</t>
  </si>
  <si>
    <t>MONTH</t>
  </si>
  <si>
    <t>ONE-TIME</t>
  </si>
  <si>
    <t>AUTOMATED</t>
  </si>
  <si>
    <t>DATABASE+</t>
  </si>
  <si>
    <t>TOTAL REV</t>
  </si>
  <si>
    <t>MRR COST</t>
  </si>
  <si>
    <t>SETUP</t>
  </si>
  <si>
    <t>TOTAL COST</t>
  </si>
  <si>
    <t>NET REV</t>
  </si>
  <si>
    <t>AVG AMENITY UPSELL</t>
  </si>
  <si>
    <t>AVG ROOM UPGRADE</t>
  </si>
  <si>
    <t>ASSUMPTIONS</t>
  </si>
  <si>
    <t>YEARLY</t>
  </si>
  <si>
    <t>OCCUPANCY %</t>
  </si>
  <si>
    <t>% DATA REACH</t>
  </si>
  <si>
    <t>EMAIL COVERAGE</t>
  </si>
  <si>
    <t>UPSELLS ( ON / OFF)</t>
  </si>
  <si>
    <t>DIRECT BOOKINGS %</t>
  </si>
  <si>
    <t>BOOKING.COM %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</si>
</sst>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$&quot;#,##0.000"/>
    <numFmt numFmtId="177" formatCode="_(* #,##0.00_);_(* \(#,##0.00\);_(* &quot;-&quot;??_);_(@_)"/>
    <numFmt numFmtId="178" formatCode="&quot;$&quot;#,##0"/>
    <numFmt numFmtId="179" formatCode="0.0"/>
    <numFmt numFmtId="180" formatCode="&quot;$&quot;#,##0.00"/>
  </numFmts>
  <fonts count="74">
    <font>
      <sz val="10"/>
      <color rgb="FF000000"/>
      <name val="Arial"/>
      <charset val="134"/>
    </font>
    <font>
      <sz val="25"/>
      <color rgb="FF000000"/>
      <name val="Lato"/>
      <charset val="134"/>
    </font>
    <font>
      <sz val="12"/>
      <color rgb="FF000000"/>
      <name val="Lato"/>
      <charset val="134"/>
    </font>
    <font>
      <sz val="10"/>
      <name val="Arial"/>
      <charset val="134"/>
    </font>
    <font>
      <b/>
      <sz val="16"/>
      <color rgb="FFFFFFFF"/>
      <name val="Lato"/>
      <charset val="134"/>
    </font>
    <font>
      <sz val="12"/>
      <color rgb="FFFFFFFF"/>
      <name val="Lato"/>
      <charset val="134"/>
    </font>
    <font>
      <b/>
      <sz val="16"/>
      <color rgb="FF000000"/>
      <name val="Lato"/>
      <charset val="134"/>
    </font>
    <font>
      <sz val="10"/>
      <color rgb="FF000000"/>
      <name val="Lato"/>
      <charset val="134"/>
    </font>
    <font>
      <sz val="12"/>
      <name val="Lato"/>
      <charset val="134"/>
    </font>
    <font>
      <b/>
      <sz val="12"/>
      <color rgb="FF0070C0"/>
      <name val="Lato"/>
      <charset val="134"/>
    </font>
    <font>
      <b/>
      <sz val="12"/>
      <color rgb="FF00B050"/>
      <name val="Lato"/>
      <charset val="134"/>
    </font>
    <font>
      <b/>
      <sz val="10"/>
      <color rgb="FF000000"/>
      <name val="Lato"/>
      <charset val="134"/>
    </font>
    <font>
      <sz val="10"/>
      <color rgb="FFFFFFFF"/>
      <name val="Lato"/>
      <charset val="134"/>
    </font>
    <font>
      <b/>
      <sz val="14"/>
      <color rgb="FFFFFFFF"/>
      <name val="Lato"/>
      <charset val="134"/>
    </font>
    <font>
      <sz val="14"/>
      <color rgb="FFFFFFFF"/>
      <name val="Lato"/>
      <charset val="134"/>
    </font>
    <font>
      <b/>
      <sz val="16"/>
      <color rgb="FFB7B7B7"/>
      <name val="Lato"/>
      <charset val="134"/>
    </font>
    <font>
      <sz val="12"/>
      <color rgb="FFB7B7B7"/>
      <name val="Lato"/>
      <charset val="134"/>
    </font>
    <font>
      <sz val="10"/>
      <color rgb="FFB7B7B7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b/>
      <sz val="16"/>
      <color rgb="FF1155CC"/>
      <name val="Lato"/>
      <charset val="134"/>
    </font>
    <font>
      <sz val="10"/>
      <color rgb="FF000000"/>
      <name val="Arial"/>
      <charset val="134"/>
    </font>
    <font>
      <sz val="11"/>
      <color rgb="FF000000"/>
      <name val="Calibri"/>
      <charset val="134"/>
    </font>
    <font>
      <b/>
      <sz val="11"/>
      <color rgb="FFFFFFFF"/>
      <name val="Lato"/>
      <charset val="134"/>
    </font>
    <font>
      <b/>
      <sz val="10"/>
      <color rgb="FFFFFFFF"/>
      <name val="Lato"/>
      <charset val="134"/>
    </font>
    <font>
      <b/>
      <sz val="11"/>
      <color rgb="FF000000"/>
      <name val="Calibri"/>
      <charset val="134"/>
    </font>
    <font>
      <sz val="11"/>
      <color rgb="FF000000"/>
      <name val="Lato"/>
      <charset val="134"/>
    </font>
    <font>
      <b/>
      <sz val="16"/>
      <color rgb="FF00B050"/>
      <name val="Lato"/>
      <charset val="134"/>
    </font>
    <font>
      <b/>
      <sz val="12"/>
      <name val="Lato"/>
      <charset val="134"/>
    </font>
    <font>
      <b/>
      <sz val="12"/>
      <color rgb="FF000000"/>
      <name val="Lato"/>
      <charset val="134"/>
    </font>
    <font>
      <sz val="10"/>
      <color rgb="FFB7B7B7"/>
      <name val="Lato"/>
      <charset val="134"/>
    </font>
    <font>
      <b/>
      <sz val="10"/>
      <name val="Lato"/>
      <charset val="134"/>
    </font>
    <font>
      <b/>
      <sz val="12"/>
      <color rgb="FFFFFFFF"/>
      <name val="Lato"/>
      <charset val="134"/>
    </font>
    <font>
      <sz val="16"/>
      <color rgb="FFFFFFFF"/>
      <name val="Lato"/>
      <charset val="134"/>
    </font>
    <font>
      <sz val="10"/>
      <color rgb="FFD9D9D9"/>
      <name val="Arial"/>
      <charset val="134"/>
    </font>
    <font>
      <b/>
      <sz val="10"/>
      <color rgb="FFD9D9D9"/>
      <name val="Arial"/>
      <charset val="134"/>
    </font>
    <font>
      <b/>
      <sz val="8"/>
      <color rgb="FFD9D9D9"/>
      <name val="Arial"/>
      <charset val="134"/>
    </font>
    <font>
      <sz val="8"/>
      <color rgb="FFD9D9D9"/>
      <name val="Arial"/>
      <charset val="134"/>
    </font>
    <font>
      <b/>
      <sz val="10"/>
      <name val="Arial"/>
      <charset val="134"/>
    </font>
    <font>
      <sz val="24"/>
      <color rgb="FFFFFFFF"/>
      <name val="Arial"/>
      <charset val="134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u/>
      <sz val="1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u/>
      <sz val="11"/>
      <color theme="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33CCCC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3CCCC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0070C0"/>
        <bgColor rgb="FF0070C0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D966"/>
        <bgColor rgb="FFFFD966"/>
      </patternFill>
    </fill>
    <fill>
      <patternFill patternType="solid">
        <fgColor rgb="FFD9E1F2"/>
        <bgColor rgb="FFD9E1F2"/>
      </patternFill>
    </fill>
    <fill>
      <patternFill patternType="solid">
        <fgColor rgb="FFFFE599"/>
        <bgColor rgb="FFFFE599"/>
      </patternFill>
    </fill>
    <fill>
      <patternFill patternType="solid">
        <fgColor rgb="FFD9D9D9"/>
        <bgColor rgb="FFD9D9D9"/>
      </patternFill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  <fill>
      <patternFill patternType="solid">
        <fgColor rgb="FF00B0F0"/>
        <bgColor rgb="FF00B0F0"/>
      </patternFill>
    </fill>
    <fill>
      <patternFill patternType="solid">
        <fgColor rgb="FFDDEBF7"/>
        <bgColor rgb="FFDDEBF7"/>
      </patternFill>
    </fill>
    <fill>
      <patternFill patternType="solid">
        <fgColor rgb="FFFFF2CC"/>
        <bgColor rgb="FFFFF2CC"/>
      </patternFill>
    </fill>
    <fill>
      <patternFill patternType="solid">
        <fgColor rgb="FF00B050"/>
        <bgColor rgb="FF00B050"/>
      </patternFill>
    </fill>
    <fill>
      <patternFill patternType="solid">
        <fgColor rgb="FFE2EFDA"/>
        <bgColor rgb="FFE2EFDA"/>
      </patternFill>
    </fill>
    <fill>
      <patternFill patternType="solid">
        <fgColor rgb="FF92D050"/>
        <bgColor rgb="FF92D050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1155CC"/>
        <bgColor rgb="FF1155CC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CC0000"/>
        <bgColor rgb="FFCC0000"/>
      </patternFill>
    </fill>
    <fill>
      <patternFill patternType="solid">
        <fgColor rgb="FFB7B7B7"/>
        <bgColor rgb="FFB7B7B7"/>
      </patternFill>
    </fill>
    <fill>
      <patternFill patternType="solid">
        <fgColor rgb="FF4A86E8"/>
        <bgColor rgb="FF4A86E8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thick">
        <color rgb="FFF1C232"/>
      </left>
      <right/>
      <top style="thick">
        <color rgb="FFF1C232"/>
      </top>
      <bottom/>
      <diagonal/>
    </border>
    <border>
      <left/>
      <right style="thick">
        <color rgb="FFF1C232"/>
      </right>
      <top style="thick">
        <color rgb="FFF1C232"/>
      </top>
      <bottom/>
      <diagonal/>
    </border>
    <border>
      <left style="thick">
        <color rgb="FFF1C232"/>
      </left>
      <right/>
      <top/>
      <bottom style="thick">
        <color rgb="FFF1C232"/>
      </bottom>
      <diagonal/>
    </border>
    <border>
      <left/>
      <right style="thick">
        <color rgb="FFF1C232"/>
      </right>
      <top/>
      <bottom style="thick">
        <color rgb="FFF1C232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 style="thick">
        <color rgb="FF9900FF"/>
      </left>
      <right/>
      <top style="thick">
        <color rgb="FF9900FF"/>
      </top>
      <bottom/>
      <diagonal/>
    </border>
    <border>
      <left/>
      <right style="thick">
        <color rgb="FF9900FF"/>
      </right>
      <top style="thick">
        <color rgb="FF9900FF"/>
      </top>
      <bottom/>
      <diagonal/>
    </border>
    <border>
      <left style="thick">
        <color rgb="FF9900FF"/>
      </left>
      <right/>
      <top/>
      <bottom style="thick">
        <color rgb="FF9900FF"/>
      </bottom>
      <diagonal/>
    </border>
    <border>
      <left/>
      <right style="thick">
        <color rgb="FF9900FF"/>
      </right>
      <top/>
      <bottom style="thick">
        <color rgb="FF9900FF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/>
      <top/>
      <bottom style="medium">
        <color rgb="FF999999"/>
      </bottom>
      <diagonal/>
    </border>
    <border>
      <left style="thick">
        <color rgb="FF4A86E8"/>
      </left>
      <right style="thick">
        <color rgb="FF4A86E8"/>
      </right>
      <top style="thick">
        <color rgb="FF4A86E8"/>
      </top>
      <bottom style="thick">
        <color rgb="FF4A86E8"/>
      </bottom>
      <diagonal/>
    </border>
    <border>
      <left style="thick">
        <color rgb="FF1155CC"/>
      </left>
      <right style="thick">
        <color rgb="FF1155CC"/>
      </right>
      <top style="thick">
        <color rgb="FF1155CC"/>
      </top>
      <bottom style="thick">
        <color rgb="FF1155CC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50" fillId="0" borderId="0" applyFont="0" applyFill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57" applyNumberFormat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54" fillId="3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33" borderId="58" applyNumberFormat="0" applyFont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59" applyNumberFormat="0" applyFill="0" applyAlignment="0" applyProtection="0">
      <alignment vertical="center"/>
    </xf>
    <xf numFmtId="0" fontId="62" fillId="0" borderId="59" applyNumberFormat="0" applyFill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7" fillId="0" borderId="60" applyNumberFormat="0" applyFill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63" fillId="37" borderId="61" applyNumberFormat="0" applyAlignment="0" applyProtection="0">
      <alignment vertical="center"/>
    </xf>
    <xf numFmtId="0" fontId="64" fillId="37" borderId="57" applyNumberFormat="0" applyAlignment="0" applyProtection="0">
      <alignment vertical="center"/>
    </xf>
    <xf numFmtId="0" fontId="65" fillId="38" borderId="62" applyNumberFormat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66" fillId="0" borderId="63" applyNumberFormat="0" applyFill="0" applyAlignment="0" applyProtection="0">
      <alignment vertical="center"/>
    </xf>
    <xf numFmtId="0" fontId="67" fillId="0" borderId="64" applyNumberFormat="0" applyFill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1" fillId="0" borderId="0"/>
    <xf numFmtId="0" fontId="51" fillId="52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70" fillId="0" borderId="0"/>
    <xf numFmtId="0" fontId="51" fillId="54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</cellStyleXfs>
  <cellXfs count="4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2" fillId="2" borderId="0" xfId="0" applyFont="1" applyFill="1"/>
    <xf numFmtId="0" fontId="4" fillId="3" borderId="0" xfId="0" applyFont="1" applyFill="1"/>
    <xf numFmtId="0" fontId="3" fillId="4" borderId="0" xfId="0" applyFont="1" applyFill="1"/>
    <xf numFmtId="0" fontId="6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/>
    <xf numFmtId="0" fontId="2" fillId="5" borderId="0" xfId="0" applyFont="1" applyFill="1"/>
    <xf numFmtId="0" fontId="7" fillId="5" borderId="1" xfId="0" applyFont="1" applyFill="1" applyBorder="1"/>
    <xf numFmtId="3" fontId="8" fillId="6" borderId="2" xfId="0" applyNumberFormat="1" applyFont="1" applyFill="1" applyBorder="1" applyAlignment="1">
      <alignment horizontal="center"/>
    </xf>
    <xf numFmtId="0" fontId="9" fillId="7" borderId="0" xfId="0" applyFont="1" applyFill="1"/>
    <xf numFmtId="178" fontId="8" fillId="6" borderId="2" xfId="0" applyNumberFormat="1" applyFont="1" applyFill="1" applyBorder="1" applyAlignment="1">
      <alignment horizontal="center"/>
    </xf>
    <xf numFmtId="0" fontId="7" fillId="7" borderId="0" xfId="0" applyFont="1" applyFill="1"/>
    <xf numFmtId="0" fontId="7" fillId="5" borderId="3" xfId="0" applyFont="1" applyFill="1" applyBorder="1"/>
    <xf numFmtId="0" fontId="8" fillId="6" borderId="4" xfId="0" applyFont="1" applyFill="1" applyBorder="1" applyAlignment="1">
      <alignment horizontal="center"/>
    </xf>
    <xf numFmtId="0" fontId="7" fillId="4" borderId="0" xfId="0" applyFont="1" applyFill="1"/>
    <xf numFmtId="9" fontId="8" fillId="4" borderId="0" xfId="0" applyNumberFormat="1" applyFont="1" applyFill="1" applyAlignment="1">
      <alignment horizontal="center"/>
    </xf>
    <xf numFmtId="0" fontId="7" fillId="5" borderId="5" xfId="0" applyFont="1" applyFill="1" applyBorder="1"/>
    <xf numFmtId="3" fontId="8" fillId="8" borderId="6" xfId="0" applyNumberFormat="1" applyFont="1" applyFill="1" applyBorder="1" applyAlignment="1">
      <alignment horizontal="center"/>
    </xf>
    <xf numFmtId="0" fontId="7" fillId="5" borderId="7" xfId="0" applyFont="1" applyFill="1" applyBorder="1"/>
    <xf numFmtId="0" fontId="8" fillId="8" borderId="8" xfId="0" applyFont="1" applyFill="1" applyBorder="1" applyAlignment="1">
      <alignment horizontal="center"/>
    </xf>
    <xf numFmtId="0" fontId="7" fillId="5" borderId="9" xfId="0" applyFont="1" applyFill="1" applyBorder="1"/>
    <xf numFmtId="9" fontId="8" fillId="8" borderId="10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7" fillId="5" borderId="0" xfId="0" applyFont="1" applyFill="1"/>
    <xf numFmtId="178" fontId="8" fillId="9" borderId="0" xfId="0" applyNumberFormat="1" applyFont="1" applyFill="1" applyAlignment="1">
      <alignment horizontal="center"/>
    </xf>
    <xf numFmtId="178" fontId="8" fillId="4" borderId="0" xfId="0" applyNumberFormat="1" applyFont="1" applyFill="1" applyAlignment="1">
      <alignment horizontal="center"/>
    </xf>
    <xf numFmtId="0" fontId="4" fillId="10" borderId="0" xfId="0" applyFont="1" applyFill="1"/>
    <xf numFmtId="0" fontId="5" fillId="10" borderId="0" xfId="0" applyFont="1" applyFill="1" applyAlignment="1">
      <alignment horizontal="right"/>
    </xf>
    <xf numFmtId="0" fontId="7" fillId="0" borderId="0" xfId="0" applyFont="1"/>
    <xf numFmtId="0" fontId="7" fillId="5" borderId="11" xfId="0" applyFont="1" applyFill="1" applyBorder="1"/>
    <xf numFmtId="3" fontId="8" fillId="11" borderId="12" xfId="0" applyNumberFormat="1" applyFont="1" applyFill="1" applyBorder="1" applyAlignment="1">
      <alignment horizontal="center"/>
    </xf>
    <xf numFmtId="0" fontId="7" fillId="5" borderId="13" xfId="0" applyFont="1" applyFill="1" applyBorder="1"/>
    <xf numFmtId="9" fontId="8" fillId="11" borderId="14" xfId="0" applyNumberFormat="1" applyFont="1" applyFill="1" applyBorder="1" applyAlignment="1">
      <alignment horizontal="center"/>
    </xf>
    <xf numFmtId="9" fontId="8" fillId="11" borderId="12" xfId="0" applyNumberFormat="1" applyFont="1" applyFill="1" applyBorder="1" applyAlignment="1">
      <alignment horizontal="center"/>
    </xf>
    <xf numFmtId="0" fontId="8" fillId="11" borderId="0" xfId="0" applyFont="1" applyFill="1" applyAlignment="1">
      <alignment horizontal="center"/>
    </xf>
    <xf numFmtId="9" fontId="8" fillId="11" borderId="0" xfId="0" applyNumberFormat="1" applyFont="1" applyFill="1" applyAlignment="1">
      <alignment horizontal="center"/>
    </xf>
    <xf numFmtId="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0" borderId="0" xfId="0" applyFont="1"/>
    <xf numFmtId="0" fontId="4" fillId="12" borderId="0" xfId="0" applyFont="1" applyFill="1"/>
    <xf numFmtId="0" fontId="2" fillId="5" borderId="0" xfId="0" applyFont="1" applyFill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9" fillId="13" borderId="0" xfId="0" applyFont="1" applyFill="1"/>
    <xf numFmtId="9" fontId="7" fillId="7" borderId="0" xfId="0" applyNumberFormat="1" applyFont="1" applyFill="1" applyAlignment="1">
      <alignment horizontal="center"/>
    </xf>
    <xf numFmtId="0" fontId="2" fillId="13" borderId="0" xfId="0" applyFont="1" applyFill="1"/>
    <xf numFmtId="0" fontId="7" fillId="13" borderId="0" xfId="0" applyFont="1" applyFill="1"/>
    <xf numFmtId="0" fontId="7" fillId="4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9" fillId="0" borderId="0" xfId="0" applyFont="1"/>
    <xf numFmtId="0" fontId="5" fillId="12" borderId="0" xfId="0" applyFont="1" applyFill="1" applyAlignment="1">
      <alignment horizontal="center"/>
    </xf>
    <xf numFmtId="0" fontId="4" fillId="15" borderId="0" xfId="0" applyFont="1" applyFill="1"/>
    <xf numFmtId="0" fontId="2" fillId="15" borderId="0" xfId="0" applyFont="1" applyFill="1"/>
    <xf numFmtId="0" fontId="2" fillId="13" borderId="0" xfId="0" applyFont="1" applyFill="1" applyAlignment="1">
      <alignment horizontal="center"/>
    </xf>
    <xf numFmtId="0" fontId="10" fillId="16" borderId="0" xfId="0" applyFont="1" applyFill="1"/>
    <xf numFmtId="0" fontId="2" fillId="16" borderId="0" xfId="0" applyFont="1" applyFill="1" applyAlignment="1">
      <alignment horizontal="center"/>
    </xf>
    <xf numFmtId="3" fontId="7" fillId="13" borderId="0" xfId="0" applyNumberFormat="1" applyFont="1" applyFill="1" applyAlignment="1">
      <alignment horizontal="center"/>
    </xf>
    <xf numFmtId="0" fontId="2" fillId="16" borderId="0" xfId="0" applyFont="1" applyFill="1"/>
    <xf numFmtId="0" fontId="7" fillId="16" borderId="0" xfId="0" applyFont="1" applyFill="1"/>
    <xf numFmtId="178" fontId="7" fillId="16" borderId="0" xfId="0" applyNumberFormat="1" applyFont="1" applyFill="1" applyAlignment="1">
      <alignment horizontal="center"/>
    </xf>
    <xf numFmtId="0" fontId="11" fillId="4" borderId="0" xfId="0" applyFont="1" applyFill="1"/>
    <xf numFmtId="0" fontId="12" fillId="4" borderId="0" xfId="0" applyFont="1" applyFill="1" applyAlignment="1">
      <alignment horizontal="center"/>
    </xf>
    <xf numFmtId="10" fontId="7" fillId="13" borderId="0" xfId="0" applyNumberFormat="1" applyFont="1" applyFill="1" applyAlignment="1">
      <alignment horizontal="center"/>
    </xf>
    <xf numFmtId="0" fontId="13" fillId="17" borderId="0" xfId="0" applyFont="1" applyFill="1" applyAlignment="1">
      <alignment horizontal="right" vertical="center"/>
    </xf>
    <xf numFmtId="178" fontId="14" fillId="17" borderId="0" xfId="0" applyNumberFormat="1" applyFont="1" applyFill="1" applyAlignment="1">
      <alignment horizontal="center" vertical="center"/>
    </xf>
    <xf numFmtId="1" fontId="7" fillId="4" borderId="0" xfId="0" applyNumberFormat="1" applyFont="1" applyFill="1" applyAlignment="1">
      <alignment horizontal="center"/>
    </xf>
    <xf numFmtId="0" fontId="4" fillId="18" borderId="0" xfId="0" applyFont="1" applyFill="1"/>
    <xf numFmtId="0" fontId="2" fillId="18" borderId="0" xfId="0" applyFont="1" applyFill="1"/>
    <xf numFmtId="178" fontId="7" fillId="1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78" fontId="7" fillId="14" borderId="0" xfId="0" applyNumberFormat="1" applyFont="1" applyFill="1" applyAlignment="1">
      <alignment horizontal="center"/>
    </xf>
    <xf numFmtId="0" fontId="15" fillId="19" borderId="0" xfId="0" applyFont="1" applyFill="1"/>
    <xf numFmtId="0" fontId="16" fillId="19" borderId="0" xfId="0" applyFont="1" applyFill="1"/>
    <xf numFmtId="0" fontId="17" fillId="19" borderId="0" xfId="0" applyFont="1" applyFill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20" borderId="0" xfId="0" applyFont="1" applyFill="1"/>
    <xf numFmtId="0" fontId="24" fillId="21" borderId="0" xfId="0" applyFont="1" applyFill="1" applyAlignment="1">
      <alignment horizontal="right"/>
    </xf>
    <xf numFmtId="0" fontId="25" fillId="0" borderId="0" xfId="0" applyFont="1"/>
    <xf numFmtId="0" fontId="26" fillId="0" borderId="0" xfId="0" applyFont="1" applyAlignment="1">
      <alignment horizontal="right"/>
    </xf>
    <xf numFmtId="0" fontId="7" fillId="4" borderId="0" xfId="0" applyFont="1" applyFill="1" applyAlignment="1">
      <alignment horizontal="right"/>
    </xf>
    <xf numFmtId="9" fontId="7" fillId="4" borderId="0" xfId="0" applyNumberFormat="1" applyFont="1" applyFill="1" applyAlignment="1">
      <alignment horizontal="right"/>
    </xf>
    <xf numFmtId="10" fontId="7" fillId="4" borderId="0" xfId="0" applyNumberFormat="1" applyFont="1" applyFill="1" applyAlignment="1">
      <alignment horizontal="right"/>
    </xf>
    <xf numFmtId="10" fontId="7" fillId="13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27" fillId="0" borderId="0" xfId="0" applyFont="1"/>
    <xf numFmtId="0" fontId="23" fillId="15" borderId="0" xfId="0" applyFont="1" applyFill="1"/>
    <xf numFmtId="3" fontId="7" fillId="22" borderId="0" xfId="0" applyNumberFormat="1" applyFont="1" applyFill="1" applyAlignment="1">
      <alignment horizontal="right"/>
    </xf>
    <xf numFmtId="0" fontId="7" fillId="22" borderId="0" xfId="0" applyFont="1" applyFill="1" applyAlignment="1">
      <alignment horizontal="right"/>
    </xf>
    <xf numFmtId="0" fontId="7" fillId="23" borderId="0" xfId="0" applyFont="1" applyFill="1" applyAlignment="1">
      <alignment vertical="center"/>
    </xf>
    <xf numFmtId="0" fontId="5" fillId="23" borderId="0" xfId="0" applyFont="1" applyFill="1" applyAlignment="1">
      <alignment vertical="center"/>
    </xf>
    <xf numFmtId="0" fontId="7" fillId="2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7" fillId="14" borderId="0" xfId="0" applyFont="1" applyFill="1" applyAlignment="1">
      <alignment horizontal="right" vertical="center"/>
    </xf>
    <xf numFmtId="3" fontId="28" fillId="14" borderId="15" xfId="0" applyNumberFormat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vertical="center"/>
    </xf>
    <xf numFmtId="178" fontId="28" fillId="14" borderId="15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28" fillId="14" borderId="1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9" fontId="28" fillId="4" borderId="0" xfId="0" applyNumberFormat="1" applyFont="1" applyFill="1" applyAlignment="1">
      <alignment horizontal="center" vertical="center"/>
    </xf>
    <xf numFmtId="0" fontId="7" fillId="14" borderId="0" xfId="0" applyFont="1" applyFill="1" applyAlignment="1">
      <alignment vertical="center"/>
    </xf>
    <xf numFmtId="9" fontId="28" fillId="14" borderId="15" xfId="0" applyNumberFormat="1" applyFont="1" applyFill="1" applyBorder="1" applyAlignment="1">
      <alignment horizontal="center" vertical="center"/>
    </xf>
    <xf numFmtId="0" fontId="3" fillId="24" borderId="0" xfId="0" applyFont="1" applyFill="1" applyAlignment="1">
      <alignment vertical="center"/>
    </xf>
    <xf numFmtId="0" fontId="4" fillId="24" borderId="0" xfId="0" applyFont="1" applyFill="1" applyAlignment="1">
      <alignment vertical="center"/>
    </xf>
    <xf numFmtId="0" fontId="5" fillId="24" borderId="0" xfId="0" applyFont="1" applyFill="1" applyAlignment="1">
      <alignment horizontal="right" vertical="center"/>
    </xf>
    <xf numFmtId="0" fontId="2" fillId="24" borderId="0" xfId="0" applyFont="1" applyFill="1" applyAlignment="1">
      <alignment vertical="center"/>
    </xf>
    <xf numFmtId="179" fontId="28" fillId="14" borderId="15" xfId="0" applyNumberFormat="1" applyFont="1" applyFill="1" applyBorder="1" applyAlignment="1">
      <alignment horizontal="center" vertical="center"/>
    </xf>
    <xf numFmtId="9" fontId="8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7" fillId="13" borderId="0" xfId="0" applyFont="1" applyFill="1" applyAlignment="1">
      <alignment horizontal="right" vertical="center"/>
    </xf>
    <xf numFmtId="3" fontId="8" fillId="13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178" fontId="8" fillId="13" borderId="0" xfId="0" applyNumberFormat="1" applyFont="1" applyFill="1" applyAlignment="1">
      <alignment horizontal="center" vertical="center"/>
    </xf>
    <xf numFmtId="0" fontId="30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horizontal="center"/>
    </xf>
    <xf numFmtId="2" fontId="16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right"/>
    </xf>
    <xf numFmtId="178" fontId="3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3" fillId="0" borderId="16" xfId="0" applyFont="1" applyBorder="1"/>
    <xf numFmtId="0" fontId="2" fillId="4" borderId="16" xfId="0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center"/>
    </xf>
    <xf numFmtId="9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1" fillId="14" borderId="15" xfId="0" applyFont="1" applyFill="1" applyBorder="1" applyAlignment="1">
      <alignment horizontal="center" vertical="center"/>
    </xf>
    <xf numFmtId="0" fontId="7" fillId="13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4" borderId="16" xfId="0" applyFont="1" applyFill="1" applyBorder="1" applyAlignment="1">
      <alignment vertical="center"/>
    </xf>
    <xf numFmtId="178" fontId="7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3" fontId="11" fillId="13" borderId="17" xfId="0" applyNumberFormat="1" applyFont="1" applyFill="1" applyBorder="1" applyAlignment="1">
      <alignment horizontal="center" vertical="center"/>
    </xf>
    <xf numFmtId="10" fontId="11" fillId="13" borderId="17" xfId="0" applyNumberFormat="1" applyFont="1" applyFill="1" applyBorder="1" applyAlignment="1">
      <alignment horizontal="center" vertical="center"/>
    </xf>
    <xf numFmtId="3" fontId="7" fillId="13" borderId="17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4" fillId="18" borderId="0" xfId="0" applyFont="1" applyFill="1" applyAlignment="1">
      <alignment vertical="center"/>
    </xf>
    <xf numFmtId="0" fontId="2" fillId="18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178" fontId="31" fillId="13" borderId="18" xfId="0" applyNumberFormat="1" applyFont="1" applyFill="1" applyBorder="1" applyAlignment="1">
      <alignment horizontal="center" vertical="center"/>
    </xf>
    <xf numFmtId="178" fontId="7" fillId="14" borderId="1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16" borderId="0" xfId="0" applyFont="1" applyFill="1"/>
    <xf numFmtId="0" fontId="10" fillId="16" borderId="0" xfId="0" applyFont="1" applyFill="1" applyAlignment="1">
      <alignment vertical="center"/>
    </xf>
    <xf numFmtId="0" fontId="29" fillId="16" borderId="0" xfId="0" applyFont="1" applyFill="1" applyAlignment="1">
      <alignment vertical="center"/>
    </xf>
    <xf numFmtId="0" fontId="7" fillId="16" borderId="0" xfId="0" applyFont="1" applyFill="1" applyAlignment="1">
      <alignment vertical="center"/>
    </xf>
    <xf numFmtId="178" fontId="7" fillId="16" borderId="0" xfId="0" applyNumberFormat="1" applyFont="1" applyFill="1" applyAlignment="1">
      <alignment horizontal="center" vertical="center"/>
    </xf>
    <xf numFmtId="178" fontId="3" fillId="16" borderId="0" xfId="0" applyNumberFormat="1" applyFont="1" applyFill="1" applyAlignment="1">
      <alignment horizontal="center"/>
    </xf>
    <xf numFmtId="0" fontId="3" fillId="15" borderId="0" xfId="0" applyFont="1" applyFill="1"/>
    <xf numFmtId="0" fontId="32" fillId="15" borderId="0" xfId="0" applyFont="1" applyFill="1" applyAlignment="1">
      <alignment vertical="center"/>
    </xf>
    <xf numFmtId="178" fontId="33" fillId="15" borderId="0" xfId="0" applyNumberFormat="1" applyFont="1" applyFill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3" fontId="37" fillId="0" borderId="0" xfId="0" applyNumberFormat="1" applyFont="1" applyAlignment="1">
      <alignment horizontal="center" vertical="center"/>
    </xf>
    <xf numFmtId="178" fontId="37" fillId="0" borderId="0" xfId="0" applyNumberFormat="1" applyFont="1" applyAlignment="1">
      <alignment horizontal="center" vertical="center"/>
    </xf>
    <xf numFmtId="0" fontId="38" fillId="0" borderId="0" xfId="0" applyFont="1"/>
    <xf numFmtId="9" fontId="3" fillId="0" borderId="0" xfId="0" applyNumberFormat="1" applyFont="1"/>
    <xf numFmtId="0" fontId="39" fillId="25" borderId="0" xfId="0" applyFont="1" applyFill="1" applyAlignment="1">
      <alignment horizontal="center" vertical="center"/>
    </xf>
    <xf numFmtId="178" fontId="3" fillId="0" borderId="0" xfId="0" applyNumberFormat="1" applyFont="1"/>
    <xf numFmtId="0" fontId="0" fillId="0" borderId="0" xfId="0" applyAlignment="1">
      <alignment horizontal="left"/>
    </xf>
    <xf numFmtId="0" fontId="40" fillId="26" borderId="19" xfId="0" applyFont="1" applyFill="1" applyBorder="1" applyAlignment="1">
      <alignment horizontal="center" vertical="center" wrapText="1"/>
    </xf>
    <xf numFmtId="0" fontId="41" fillId="26" borderId="20" xfId="0" applyFont="1" applyFill="1" applyBorder="1" applyAlignment="1">
      <alignment horizontal="center" vertical="center"/>
    </xf>
    <xf numFmtId="0" fontId="41" fillId="26" borderId="21" xfId="0" applyFont="1" applyFill="1" applyBorder="1" applyAlignment="1">
      <alignment horizontal="center" vertical="center"/>
    </xf>
    <xf numFmtId="0" fontId="41" fillId="26" borderId="20" xfId="0" applyFont="1" applyFill="1" applyBorder="1" applyAlignment="1">
      <alignment horizontal="left" vertical="center"/>
    </xf>
    <xf numFmtId="0" fontId="42" fillId="0" borderId="20" xfId="0" applyFont="1" applyBorder="1" applyAlignment="1">
      <alignment horizontal="left" vertical="center"/>
    </xf>
    <xf numFmtId="180" fontId="42" fillId="0" borderId="20" xfId="0" applyNumberFormat="1" applyFont="1" applyBorder="1" applyAlignment="1">
      <alignment horizontal="left" vertical="center"/>
    </xf>
    <xf numFmtId="0" fontId="41" fillId="26" borderId="20" xfId="0" applyFont="1" applyFill="1" applyBorder="1" applyAlignment="1">
      <alignment horizontal="left" vertical="center" wrapText="1"/>
    </xf>
    <xf numFmtId="180" fontId="43" fillId="0" borderId="20" xfId="8" applyNumberFormat="1" applyFont="1" applyBorder="1" applyAlignment="1">
      <alignment horizontal="center" vertical="center"/>
    </xf>
    <xf numFmtId="180" fontId="42" fillId="0" borderId="20" xfId="8" applyNumberFormat="1" applyFont="1" applyBorder="1" applyAlignment="1">
      <alignment horizontal="center" vertical="center"/>
    </xf>
    <xf numFmtId="0" fontId="44" fillId="0" borderId="22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45" fillId="0" borderId="24" xfId="0" applyFont="1" applyBorder="1" applyAlignment="1">
      <alignment horizontal="left"/>
    </xf>
    <xf numFmtId="0" fontId="46" fillId="0" borderId="24" xfId="0" applyFont="1" applyBorder="1" applyAlignment="1">
      <alignment horizontal="left" wrapText="1"/>
    </xf>
    <xf numFmtId="0" fontId="46" fillId="0" borderId="25" xfId="0" applyFont="1" applyBorder="1" applyAlignment="1">
      <alignment horizontal="left"/>
    </xf>
    <xf numFmtId="0" fontId="45" fillId="0" borderId="24" xfId="0" applyFont="1" applyBorder="1" applyAlignment="1">
      <alignment horizontal="left" wrapText="1"/>
    </xf>
    <xf numFmtId="0" fontId="45" fillId="0" borderId="25" xfId="0" applyFont="1" applyBorder="1" applyAlignment="1">
      <alignment horizontal="left"/>
    </xf>
    <xf numFmtId="0" fontId="46" fillId="0" borderId="25" xfId="0" applyFont="1" applyBorder="1" applyAlignment="1">
      <alignment horizontal="left" wrapText="1"/>
    </xf>
    <xf numFmtId="0" fontId="46" fillId="0" borderId="24" xfId="0" applyFont="1" applyBorder="1" applyAlignment="1">
      <alignment horizontal="left"/>
    </xf>
    <xf numFmtId="0" fontId="45" fillId="0" borderId="25" xfId="0" applyFont="1" applyBorder="1" applyAlignment="1">
      <alignment horizontal="left" wrapText="1"/>
    </xf>
    <xf numFmtId="0" fontId="45" fillId="0" borderId="22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45" fillId="0" borderId="23" xfId="0" applyFont="1" applyBorder="1" applyAlignment="1">
      <alignment horizontal="left"/>
    </xf>
    <xf numFmtId="0" fontId="0" fillId="0" borderId="0" xfId="0" applyAlignment="1">
      <alignment horizontal="center"/>
    </xf>
    <xf numFmtId="0" fontId="40" fillId="26" borderId="26" xfId="0" applyFont="1" applyFill="1" applyBorder="1" applyAlignment="1">
      <alignment horizontal="center" vertical="center" wrapText="1"/>
    </xf>
    <xf numFmtId="0" fontId="40" fillId="26" borderId="27" xfId="0" applyFont="1" applyFill="1" applyBorder="1" applyAlignment="1">
      <alignment horizontal="center" vertical="center" wrapText="1"/>
    </xf>
    <xf numFmtId="0" fontId="40" fillId="26" borderId="28" xfId="0" applyFont="1" applyFill="1" applyBorder="1" applyAlignment="1">
      <alignment horizontal="center" vertical="center" wrapText="1"/>
    </xf>
    <xf numFmtId="0" fontId="41" fillId="26" borderId="29" xfId="0" applyFont="1" applyFill="1" applyBorder="1" applyAlignment="1">
      <alignment horizontal="center" vertical="center" wrapText="1"/>
    </xf>
    <xf numFmtId="0" fontId="42" fillId="0" borderId="30" xfId="0" applyFont="1" applyBorder="1" applyAlignment="1">
      <alignment horizontal="left" vertical="center"/>
    </xf>
    <xf numFmtId="180" fontId="42" fillId="0" borderId="30" xfId="0" applyNumberFormat="1" applyFont="1" applyBorder="1" applyAlignment="1">
      <alignment horizontal="center"/>
    </xf>
    <xf numFmtId="178" fontId="42" fillId="0" borderId="30" xfId="0" applyNumberFormat="1" applyFont="1" applyBorder="1" applyAlignment="1">
      <alignment horizontal="center"/>
    </xf>
    <xf numFmtId="0" fontId="42" fillId="0" borderId="30" xfId="0" applyFont="1" applyBorder="1" applyAlignment="1">
      <alignment horizontal="center"/>
    </xf>
    <xf numFmtId="0" fontId="42" fillId="0" borderId="31" xfId="0" applyFont="1" applyBorder="1"/>
    <xf numFmtId="0" fontId="47" fillId="26" borderId="32" xfId="0" applyFont="1" applyFill="1" applyBorder="1" applyAlignment="1">
      <alignment horizontal="center" vertical="center"/>
    </xf>
    <xf numFmtId="180" fontId="42" fillId="0" borderId="20" xfId="0" applyNumberFormat="1" applyFont="1" applyBorder="1" applyAlignment="1">
      <alignment horizontal="center"/>
    </xf>
    <xf numFmtId="178" fontId="42" fillId="0" borderId="20" xfId="0" applyNumberFormat="1" applyFont="1" applyBorder="1" applyAlignment="1">
      <alignment horizontal="center"/>
    </xf>
    <xf numFmtId="0" fontId="42" fillId="0" borderId="20" xfId="0" applyFont="1" applyBorder="1" applyAlignment="1">
      <alignment horizontal="center"/>
    </xf>
    <xf numFmtId="0" fontId="42" fillId="0" borderId="33" xfId="0" applyFont="1" applyBorder="1"/>
    <xf numFmtId="0" fontId="47" fillId="26" borderId="34" xfId="0" applyFont="1" applyFill="1" applyBorder="1" applyAlignment="1">
      <alignment horizontal="center" vertical="center"/>
    </xf>
    <xf numFmtId="0" fontId="42" fillId="0" borderId="35" xfId="0" applyFont="1" applyBorder="1" applyAlignment="1">
      <alignment horizontal="left" vertical="center"/>
    </xf>
    <xf numFmtId="180" fontId="42" fillId="0" borderId="35" xfId="0" applyNumberFormat="1" applyFont="1" applyBorder="1" applyAlignment="1">
      <alignment horizontal="center"/>
    </xf>
    <xf numFmtId="178" fontId="42" fillId="0" borderId="35" xfId="0" applyNumberFormat="1" applyFont="1" applyBorder="1" applyAlignment="1">
      <alignment horizontal="center"/>
    </xf>
    <xf numFmtId="0" fontId="42" fillId="0" borderId="35" xfId="0" applyFont="1" applyBorder="1" applyAlignment="1">
      <alignment horizontal="center"/>
    </xf>
    <xf numFmtId="0" fontId="42" fillId="0" borderId="36" xfId="0" applyFont="1" applyBorder="1"/>
    <xf numFmtId="0" fontId="41" fillId="26" borderId="29" xfId="0" applyFont="1" applyFill="1" applyBorder="1" applyAlignment="1">
      <alignment horizontal="center" vertical="center"/>
    </xf>
    <xf numFmtId="180" fontId="42" fillId="0" borderId="30" xfId="8" applyNumberFormat="1" applyFont="1" applyBorder="1" applyAlignment="1">
      <alignment horizontal="center"/>
    </xf>
    <xf numFmtId="0" fontId="41" fillId="26" borderId="32" xfId="0" applyFont="1" applyFill="1" applyBorder="1" applyAlignment="1">
      <alignment horizontal="center" vertical="center"/>
    </xf>
    <xf numFmtId="180" fontId="42" fillId="0" borderId="20" xfId="8" applyNumberFormat="1" applyFont="1" applyBorder="1" applyAlignment="1">
      <alignment horizontal="center"/>
    </xf>
    <xf numFmtId="180" fontId="48" fillId="0" borderId="20" xfId="8" applyNumberFormat="1" applyFont="1" applyBorder="1" applyAlignment="1">
      <alignment horizontal="center"/>
    </xf>
    <xf numFmtId="0" fontId="41" fillId="26" borderId="34" xfId="0" applyFont="1" applyFill="1" applyBorder="1" applyAlignment="1">
      <alignment horizontal="center" vertical="center"/>
    </xf>
    <xf numFmtId="0" fontId="41" fillId="26" borderId="37" xfId="0" applyFont="1" applyFill="1" applyBorder="1" applyAlignment="1">
      <alignment horizontal="center" vertical="center" wrapText="1"/>
    </xf>
    <xf numFmtId="0" fontId="42" fillId="0" borderId="23" xfId="0" applyFont="1" applyBorder="1" applyAlignment="1">
      <alignment horizontal="left" vertical="center" wrapText="1"/>
    </xf>
    <xf numFmtId="180" fontId="42" fillId="0" borderId="23" xfId="0" applyNumberFormat="1" applyFont="1" applyBorder="1" applyAlignment="1">
      <alignment horizontal="center" vertical="center" wrapText="1"/>
    </xf>
    <xf numFmtId="178" fontId="42" fillId="0" borderId="23" xfId="0" applyNumberFormat="1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left" vertical="center" wrapText="1"/>
    </xf>
    <xf numFmtId="0" fontId="41" fillId="26" borderId="32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left" vertical="center" wrapText="1"/>
    </xf>
    <xf numFmtId="180" fontId="42" fillId="0" borderId="20" xfId="0" applyNumberFormat="1" applyFont="1" applyBorder="1" applyAlignment="1">
      <alignment horizontal="center" vertical="center" wrapText="1"/>
    </xf>
    <xf numFmtId="178" fontId="42" fillId="0" borderId="20" xfId="0" applyNumberFormat="1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left" vertical="center" wrapText="1"/>
    </xf>
    <xf numFmtId="0" fontId="41" fillId="26" borderId="34" xfId="0" applyFont="1" applyFill="1" applyBorder="1" applyAlignment="1">
      <alignment horizontal="center" vertical="center" wrapText="1"/>
    </xf>
    <xf numFmtId="0" fontId="42" fillId="0" borderId="35" xfId="0" applyFont="1" applyBorder="1" applyAlignment="1">
      <alignment horizontal="left" vertical="center" wrapText="1"/>
    </xf>
    <xf numFmtId="180" fontId="42" fillId="0" borderId="35" xfId="0" applyNumberFormat="1" applyFont="1" applyBorder="1" applyAlignment="1">
      <alignment horizontal="center" vertical="center" wrapText="1"/>
    </xf>
    <xf numFmtId="178" fontId="42" fillId="0" borderId="35" xfId="0" applyNumberFormat="1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left" vertical="center" wrapText="1"/>
    </xf>
    <xf numFmtId="0" fontId="41" fillId="26" borderId="39" xfId="0" applyFont="1" applyFill="1" applyBorder="1" applyAlignment="1">
      <alignment horizontal="center" vertical="center" wrapText="1"/>
    </xf>
    <xf numFmtId="0" fontId="42" fillId="0" borderId="30" xfId="0" applyFont="1" applyBorder="1" applyAlignment="1">
      <alignment horizontal="left" vertical="center" wrapText="1"/>
    </xf>
    <xf numFmtId="180" fontId="42" fillId="0" borderId="30" xfId="0" applyNumberFormat="1" applyFont="1" applyBorder="1" applyAlignment="1">
      <alignment horizontal="center" vertical="center" wrapText="1"/>
    </xf>
    <xf numFmtId="180" fontId="42" fillId="0" borderId="30" xfId="8" applyNumberFormat="1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1" fillId="26" borderId="40" xfId="0" applyFont="1" applyFill="1" applyBorder="1" applyAlignment="1">
      <alignment horizontal="center" vertical="center" wrapText="1"/>
    </xf>
    <xf numFmtId="180" fontId="42" fillId="0" borderId="20" xfId="8" applyNumberFormat="1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2" fillId="0" borderId="41" xfId="0" applyFont="1" applyBorder="1" applyAlignment="1">
      <alignment horizontal="left" vertical="center" wrapText="1"/>
    </xf>
    <xf numFmtId="180" fontId="42" fillId="0" borderId="41" xfId="0" applyNumberFormat="1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1" fillId="26" borderId="26" xfId="0" applyFont="1" applyFill="1" applyBorder="1" applyAlignment="1">
      <alignment horizontal="center" vertical="center" wrapText="1"/>
    </xf>
    <xf numFmtId="0" fontId="42" fillId="0" borderId="27" xfId="0" applyFont="1" applyBorder="1" applyAlignment="1">
      <alignment horizontal="left" vertical="center" wrapText="1"/>
    </xf>
    <xf numFmtId="180" fontId="42" fillId="0" borderId="27" xfId="0" applyNumberFormat="1" applyFont="1" applyBorder="1" applyAlignment="1">
      <alignment horizontal="center" vertical="center" wrapText="1"/>
    </xf>
    <xf numFmtId="180" fontId="42" fillId="0" borderId="27" xfId="8" applyNumberFormat="1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49" fillId="0" borderId="0" xfId="0" applyFont="1" applyAlignment="1">
      <alignment horizontal="right" vertical="top"/>
    </xf>
    <xf numFmtId="0" fontId="40" fillId="26" borderId="0" xfId="0" applyFont="1" applyFill="1" applyAlignment="1">
      <alignment wrapText="1"/>
    </xf>
    <xf numFmtId="178" fontId="0" fillId="0" borderId="0" xfId="0" applyNumberFormat="1"/>
    <xf numFmtId="0" fontId="42" fillId="0" borderId="30" xfId="0" applyFont="1" applyBorder="1" applyAlignment="1">
      <alignment horizontal="left" vertical="top" wrapText="1"/>
    </xf>
    <xf numFmtId="0" fontId="48" fillId="0" borderId="30" xfId="0" applyFont="1" applyBorder="1" applyAlignment="1">
      <alignment horizontal="left" vertical="center"/>
    </xf>
    <xf numFmtId="178" fontId="48" fillId="0" borderId="30" xfId="0" applyNumberFormat="1" applyFont="1" applyBorder="1" applyAlignment="1">
      <alignment horizontal="center"/>
    </xf>
    <xf numFmtId="178" fontId="48" fillId="0" borderId="30" xfId="0" applyNumberFormat="1" applyFont="1" applyBorder="1" applyAlignment="1">
      <alignment horizontal="center" vertical="center"/>
    </xf>
    <xf numFmtId="0" fontId="42" fillId="0" borderId="20" xfId="0" applyFont="1" applyBorder="1" applyAlignment="1">
      <alignment horizontal="left"/>
    </xf>
    <xf numFmtId="0" fontId="48" fillId="0" borderId="20" xfId="0" applyFont="1" applyBorder="1" applyAlignment="1">
      <alignment horizontal="left" vertical="center"/>
    </xf>
    <xf numFmtId="180" fontId="48" fillId="0" borderId="20" xfId="0" applyNumberFormat="1" applyFont="1" applyBorder="1" applyAlignment="1">
      <alignment horizontal="center"/>
    </xf>
    <xf numFmtId="178" fontId="48" fillId="0" borderId="20" xfId="0" applyNumberFormat="1" applyFont="1" applyBorder="1" applyAlignment="1">
      <alignment horizontal="center" vertical="center"/>
    </xf>
    <xf numFmtId="0" fontId="42" fillId="0" borderId="20" xfId="0" applyFont="1" applyBorder="1" applyAlignment="1">
      <alignment vertical="center"/>
    </xf>
    <xf numFmtId="0" fontId="41" fillId="26" borderId="43" xfId="0" applyFont="1" applyFill="1" applyBorder="1" applyAlignment="1">
      <alignment horizontal="center" vertical="center" wrapText="1"/>
    </xf>
    <xf numFmtId="0" fontId="42" fillId="0" borderId="35" xfId="0" applyFont="1" applyBorder="1" applyAlignment="1">
      <alignment vertical="center" wrapText="1"/>
    </xf>
    <xf numFmtId="0" fontId="48" fillId="0" borderId="35" xfId="0" applyFont="1" applyBorder="1" applyAlignment="1">
      <alignment horizontal="left" vertical="center"/>
    </xf>
    <xf numFmtId="180" fontId="42" fillId="0" borderId="35" xfId="0" applyNumberFormat="1" applyFont="1" applyBorder="1" applyAlignment="1">
      <alignment horizontal="center" vertical="center"/>
    </xf>
    <xf numFmtId="180" fontId="48" fillId="0" borderId="35" xfId="0" applyNumberFormat="1" applyFont="1" applyBorder="1" applyAlignment="1">
      <alignment horizontal="center" vertical="center"/>
    </xf>
    <xf numFmtId="180" fontId="42" fillId="0" borderId="35" xfId="8" applyNumberFormat="1" applyFont="1" applyBorder="1" applyAlignment="1">
      <alignment horizontal="center" vertical="center"/>
    </xf>
    <xf numFmtId="0" fontId="42" fillId="0" borderId="30" xfId="0" applyFont="1" applyBorder="1" applyAlignment="1">
      <alignment vertical="center"/>
    </xf>
    <xf numFmtId="0" fontId="0" fillId="0" borderId="30" xfId="0" applyBorder="1" applyAlignment="1">
      <alignment horizontal="left" vertical="center"/>
    </xf>
    <xf numFmtId="180" fontId="48" fillId="0" borderId="30" xfId="0" applyNumberFormat="1" applyFont="1" applyBorder="1" applyAlignment="1">
      <alignment horizontal="center"/>
    </xf>
    <xf numFmtId="180" fontId="48" fillId="0" borderId="30" xfId="8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 vertical="center"/>
    </xf>
    <xf numFmtId="0" fontId="0" fillId="0" borderId="20" xfId="0" applyBorder="1"/>
    <xf numFmtId="0" fontId="42" fillId="0" borderId="20" xfId="0" applyFont="1" applyBorder="1"/>
    <xf numFmtId="0" fontId="42" fillId="0" borderId="35" xfId="0" applyFont="1" applyBorder="1" applyAlignment="1">
      <alignment horizontal="left"/>
    </xf>
    <xf numFmtId="0" fontId="0" fillId="0" borderId="35" xfId="0" applyBorder="1" applyAlignment="1">
      <alignment horizontal="center"/>
    </xf>
    <xf numFmtId="0" fontId="42" fillId="0" borderId="35" xfId="0" applyFont="1" applyBorder="1"/>
    <xf numFmtId="0" fontId="0" fillId="0" borderId="35" xfId="0" applyBorder="1"/>
    <xf numFmtId="0" fontId="42" fillId="27" borderId="30" xfId="0" applyFont="1" applyFill="1" applyBorder="1" applyAlignment="1">
      <alignment vertical="center"/>
    </xf>
    <xf numFmtId="180" fontId="42" fillId="27" borderId="30" xfId="0" applyNumberFormat="1" applyFont="1" applyFill="1" applyBorder="1" applyAlignment="1">
      <alignment horizontal="center" vertical="center"/>
    </xf>
    <xf numFmtId="180" fontId="48" fillId="27" borderId="30" xfId="0" applyNumberFormat="1" applyFont="1" applyFill="1" applyBorder="1" applyAlignment="1">
      <alignment horizontal="center" vertical="center"/>
    </xf>
    <xf numFmtId="180" fontId="42" fillId="0" borderId="30" xfId="0" applyNumberFormat="1" applyFont="1" applyBorder="1" applyAlignment="1">
      <alignment horizontal="center" vertical="center"/>
    </xf>
    <xf numFmtId="0" fontId="42" fillId="27" borderId="30" xfId="0" applyFont="1" applyFill="1" applyBorder="1" applyAlignment="1">
      <alignment horizontal="left" vertical="center"/>
    </xf>
    <xf numFmtId="180" fontId="42" fillId="0" borderId="20" xfId="0" applyNumberFormat="1" applyFont="1" applyBorder="1" applyAlignment="1">
      <alignment horizontal="center" vertical="center"/>
    </xf>
    <xf numFmtId="180" fontId="48" fillId="27" borderId="20" xfId="0" applyNumberFormat="1" applyFont="1" applyFill="1" applyBorder="1" applyAlignment="1">
      <alignment horizontal="center" vertical="center"/>
    </xf>
    <xf numFmtId="0" fontId="42" fillId="0" borderId="41" xfId="0" applyFont="1" applyBorder="1" applyAlignment="1">
      <alignment vertical="center"/>
    </xf>
    <xf numFmtId="0" fontId="42" fillId="0" borderId="41" xfId="0" applyFont="1" applyBorder="1" applyAlignment="1">
      <alignment horizontal="left" vertical="center"/>
    </xf>
    <xf numFmtId="180" fontId="42" fillId="0" borderId="41" xfId="0" applyNumberFormat="1" applyFont="1" applyBorder="1" applyAlignment="1">
      <alignment horizontal="center" vertical="center"/>
    </xf>
    <xf numFmtId="180" fontId="42" fillId="0" borderId="41" xfId="0" applyNumberFormat="1" applyFont="1" applyBorder="1" applyAlignment="1">
      <alignment horizontal="center" vertical="top"/>
    </xf>
    <xf numFmtId="0" fontId="41" fillId="26" borderId="39" xfId="0" applyFont="1" applyFill="1" applyBorder="1" applyAlignment="1">
      <alignment horizontal="center" vertical="center"/>
    </xf>
    <xf numFmtId="0" fontId="48" fillId="27" borderId="30" xfId="0" applyFont="1" applyFill="1" applyBorder="1" applyAlignment="1">
      <alignment horizontal="left" vertical="center"/>
    </xf>
    <xf numFmtId="180" fontId="48" fillId="0" borderId="30" xfId="0" applyNumberFormat="1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1" fillId="26" borderId="40" xfId="0" applyFont="1" applyFill="1" applyBorder="1" applyAlignment="1">
      <alignment horizontal="center" vertical="center"/>
    </xf>
    <xf numFmtId="0" fontId="48" fillId="27" borderId="20" xfId="0" applyFont="1" applyFill="1" applyBorder="1" applyAlignment="1">
      <alignment horizontal="left" vertical="center"/>
    </xf>
    <xf numFmtId="180" fontId="48" fillId="0" borderId="20" xfId="0" applyNumberFormat="1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180" fontId="48" fillId="0" borderId="41" xfId="0" applyNumberFormat="1" applyFont="1" applyBorder="1" applyAlignment="1">
      <alignment horizontal="center" vertical="center"/>
    </xf>
    <xf numFmtId="0" fontId="42" fillId="0" borderId="42" xfId="0" applyFont="1" applyBorder="1"/>
    <xf numFmtId="0" fontId="41" fillId="26" borderId="43" xfId="0" applyFont="1" applyFill="1" applyBorder="1" applyAlignment="1">
      <alignment horizontal="center" vertical="center"/>
    </xf>
    <xf numFmtId="0" fontId="48" fillId="27" borderId="35" xfId="0" applyFont="1" applyFill="1" applyBorder="1" applyAlignment="1">
      <alignment horizontal="left" vertical="center"/>
    </xf>
    <xf numFmtId="0" fontId="42" fillId="0" borderId="35" xfId="0" applyFont="1" applyBorder="1" applyAlignment="1">
      <alignment vertical="center"/>
    </xf>
    <xf numFmtId="0" fontId="42" fillId="0" borderId="35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/>
    </xf>
    <xf numFmtId="0" fontId="48" fillId="0" borderId="31" xfId="0" applyFont="1" applyBorder="1" applyAlignment="1">
      <alignment horizontal="left" vertical="center"/>
    </xf>
    <xf numFmtId="178" fontId="42" fillId="0" borderId="20" xfId="0" applyNumberFormat="1" applyFont="1" applyBorder="1" applyAlignment="1">
      <alignment horizontal="center" vertical="center"/>
    </xf>
    <xf numFmtId="0" fontId="48" fillId="0" borderId="33" xfId="0" applyFont="1" applyBorder="1" applyAlignment="1">
      <alignment horizontal="left" vertical="center"/>
    </xf>
    <xf numFmtId="0" fontId="48" fillId="0" borderId="20" xfId="0" applyFont="1" applyBorder="1" applyAlignment="1">
      <alignment horizontal="center"/>
    </xf>
    <xf numFmtId="176" fontId="0" fillId="0" borderId="0" xfId="0" applyNumberFormat="1"/>
    <xf numFmtId="0" fontId="48" fillId="0" borderId="35" xfId="0" applyFont="1" applyBorder="1" applyAlignment="1">
      <alignment horizontal="center" vertical="center"/>
    </xf>
    <xf numFmtId="0" fontId="48" fillId="0" borderId="36" xfId="0" applyFont="1" applyBorder="1" applyAlignment="1">
      <alignment horizontal="left" vertical="center" wrapText="1"/>
    </xf>
    <xf numFmtId="0" fontId="42" fillId="0" borderId="30" xfId="0" applyFont="1" applyBorder="1"/>
    <xf numFmtId="0" fontId="0" fillId="0" borderId="31" xfId="0" applyBorder="1" applyAlignment="1">
      <alignment horizontal="left" vertical="center"/>
    </xf>
    <xf numFmtId="0" fontId="0" fillId="0" borderId="33" xfId="0" applyBorder="1"/>
    <xf numFmtId="0" fontId="0" fillId="0" borderId="36" xfId="0" applyBorder="1"/>
    <xf numFmtId="0" fontId="42" fillId="0" borderId="31" xfId="0" applyFont="1" applyBorder="1" applyAlignment="1">
      <alignment horizontal="left" vertical="center"/>
    </xf>
    <xf numFmtId="0" fontId="42" fillId="0" borderId="33" xfId="0" applyFont="1" applyBorder="1" applyAlignment="1">
      <alignment horizontal="left" vertical="center"/>
    </xf>
    <xf numFmtId="0" fontId="42" fillId="0" borderId="41" xfId="0" applyFont="1" applyBorder="1"/>
    <xf numFmtId="0" fontId="42" fillId="0" borderId="42" xfId="0" applyFont="1" applyBorder="1" applyAlignment="1">
      <alignment horizontal="left" vertical="center"/>
    </xf>
    <xf numFmtId="0" fontId="40" fillId="26" borderId="44" xfId="0" applyFont="1" applyFill="1" applyBorder="1" applyAlignment="1">
      <alignment horizontal="center" vertical="center" wrapText="1"/>
    </xf>
    <xf numFmtId="0" fontId="40" fillId="26" borderId="45" xfId="0" applyFont="1" applyFill="1" applyBorder="1" applyAlignment="1">
      <alignment horizontal="center" vertical="center" wrapText="1"/>
    </xf>
    <xf numFmtId="0" fontId="40" fillId="26" borderId="46" xfId="0" applyFont="1" applyFill="1" applyBorder="1" applyAlignment="1">
      <alignment horizontal="center" vertical="center"/>
    </xf>
    <xf numFmtId="0" fontId="40" fillId="26" borderId="47" xfId="0" applyFont="1" applyFill="1" applyBorder="1" applyAlignment="1">
      <alignment horizontal="center" vertical="center" wrapText="1"/>
    </xf>
    <xf numFmtId="0" fontId="41" fillId="26" borderId="48" xfId="0" applyFont="1" applyFill="1" applyBorder="1" applyAlignment="1">
      <alignment horizontal="center" vertical="center" wrapText="1"/>
    </xf>
    <xf numFmtId="0" fontId="42" fillId="0" borderId="49" xfId="0" applyFont="1" applyBorder="1" applyAlignment="1">
      <alignment horizontal="left" vertical="center" wrapText="1"/>
    </xf>
    <xf numFmtId="180" fontId="42" fillId="27" borderId="49" xfId="0" applyNumberFormat="1" applyFont="1" applyFill="1" applyBorder="1" applyAlignment="1">
      <alignment horizontal="center" vertical="center" wrapText="1"/>
    </xf>
    <xf numFmtId="180" fontId="48" fillId="27" borderId="49" xfId="8" applyNumberFormat="1" applyFont="1" applyFill="1" applyBorder="1" applyAlignment="1">
      <alignment horizontal="center" vertical="center" wrapText="1"/>
    </xf>
    <xf numFmtId="0" fontId="42" fillId="0" borderId="49" xfId="0" applyFont="1" applyBorder="1" applyAlignment="1">
      <alignment vertical="center" wrapText="1"/>
    </xf>
    <xf numFmtId="0" fontId="42" fillId="0" borderId="49" xfId="0" applyFont="1" applyBorder="1" applyAlignment="1">
      <alignment horizontal="center" vertical="center"/>
    </xf>
    <xf numFmtId="0" fontId="42" fillId="27" borderId="50" xfId="0" applyFont="1" applyFill="1" applyBorder="1" applyAlignment="1">
      <alignment horizontal="center" vertical="center" wrapText="1"/>
    </xf>
    <xf numFmtId="0" fontId="41" fillId="26" borderId="51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left" vertical="center" wrapText="1"/>
    </xf>
    <xf numFmtId="180" fontId="42" fillId="27" borderId="52" xfId="0" applyNumberFormat="1" applyFont="1" applyFill="1" applyBorder="1" applyAlignment="1">
      <alignment horizontal="center" vertical="center" wrapText="1"/>
    </xf>
    <xf numFmtId="180" fontId="48" fillId="27" borderId="52" xfId="8" applyNumberFormat="1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vertical="top" wrapText="1"/>
    </xf>
    <xf numFmtId="0" fontId="42" fillId="0" borderId="52" xfId="0" applyFont="1" applyBorder="1" applyAlignment="1">
      <alignment horizontal="center" vertical="center"/>
    </xf>
    <xf numFmtId="0" fontId="42" fillId="27" borderId="53" xfId="0" applyFont="1" applyFill="1" applyBorder="1" applyAlignment="1">
      <alignment horizontal="center" vertical="center" wrapText="1"/>
    </xf>
    <xf numFmtId="0" fontId="42" fillId="0" borderId="49" xfId="0" applyFont="1" applyBorder="1"/>
    <xf numFmtId="180" fontId="42" fillId="0" borderId="49" xfId="0" applyNumberFormat="1" applyFont="1" applyBorder="1" applyAlignment="1">
      <alignment horizontal="center" vertical="center"/>
    </xf>
    <xf numFmtId="180" fontId="48" fillId="0" borderId="49" xfId="8" applyNumberFormat="1" applyFont="1" applyBorder="1" applyAlignment="1">
      <alignment horizontal="center" vertical="center"/>
    </xf>
    <xf numFmtId="0" fontId="42" fillId="0" borderId="50" xfId="0" applyFont="1" applyBorder="1"/>
    <xf numFmtId="0" fontId="41" fillId="26" borderId="54" xfId="0" applyFont="1" applyFill="1" applyBorder="1" applyAlignment="1">
      <alignment horizontal="center" vertical="center" wrapText="1"/>
    </xf>
    <xf numFmtId="0" fontId="42" fillId="0" borderId="55" xfId="0" applyFont="1" applyBorder="1"/>
    <xf numFmtId="180" fontId="42" fillId="0" borderId="55" xfId="0" applyNumberFormat="1" applyFont="1" applyBorder="1" applyAlignment="1">
      <alignment horizontal="center" vertical="center"/>
    </xf>
    <xf numFmtId="180" fontId="48" fillId="0" borderId="55" xfId="8" applyNumberFormat="1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56" xfId="0" applyFont="1" applyBorder="1"/>
    <xf numFmtId="180" fontId="42" fillId="0" borderId="55" xfId="8" applyNumberFormat="1" applyFont="1" applyBorder="1" applyAlignment="1">
      <alignment horizontal="center" vertical="center"/>
    </xf>
    <xf numFmtId="0" fontId="42" fillId="0" borderId="52" xfId="0" applyFont="1" applyBorder="1"/>
    <xf numFmtId="180" fontId="42" fillId="0" borderId="52" xfId="0" applyNumberFormat="1" applyFont="1" applyBorder="1" applyAlignment="1">
      <alignment horizontal="center" vertical="center"/>
    </xf>
    <xf numFmtId="180" fontId="42" fillId="0" borderId="52" xfId="8" applyNumberFormat="1" applyFont="1" applyBorder="1" applyAlignment="1">
      <alignment horizontal="center" vertical="center"/>
    </xf>
    <xf numFmtId="0" fontId="42" fillId="0" borderId="53" xfId="0" applyFont="1" applyBorder="1"/>
    <xf numFmtId="0" fontId="48" fillId="0" borderId="49" xfId="0" applyFont="1" applyBorder="1" applyAlignment="1">
      <alignment horizontal="left" wrapText="1"/>
    </xf>
    <xf numFmtId="180" fontId="42" fillId="0" borderId="49" xfId="0" applyNumberFormat="1" applyFont="1" applyBorder="1" applyAlignment="1">
      <alignment horizontal="center" vertical="center" wrapText="1"/>
    </xf>
    <xf numFmtId="180" fontId="42" fillId="0" borderId="49" xfId="8" applyNumberFormat="1" applyFont="1" applyBorder="1" applyAlignment="1">
      <alignment horizontal="center" vertical="center" wrapText="1"/>
    </xf>
    <xf numFmtId="0" fontId="43" fillId="0" borderId="49" xfId="0" applyFont="1" applyBorder="1" applyAlignment="1">
      <alignment wrapText="1"/>
    </xf>
    <xf numFmtId="178" fontId="42" fillId="0" borderId="49" xfId="0" applyNumberFormat="1" applyFont="1" applyBorder="1" applyAlignment="1">
      <alignment horizontal="center" vertical="center" wrapText="1"/>
    </xf>
    <xf numFmtId="0" fontId="48" fillId="0" borderId="52" xfId="0" applyFont="1" applyBorder="1" applyAlignment="1">
      <alignment horizontal="left" wrapText="1"/>
    </xf>
    <xf numFmtId="180" fontId="42" fillId="0" borderId="52" xfId="0" applyNumberFormat="1" applyFont="1" applyBorder="1" applyAlignment="1">
      <alignment horizontal="center" vertical="center" wrapText="1"/>
    </xf>
    <xf numFmtId="180" fontId="42" fillId="0" borderId="52" xfId="8" applyNumberFormat="1" applyFont="1" applyBorder="1" applyAlignment="1">
      <alignment horizontal="center" vertical="center" wrapText="1"/>
    </xf>
    <xf numFmtId="0" fontId="43" fillId="0" borderId="52" xfId="0" applyFont="1" applyBorder="1" applyAlignment="1">
      <alignment wrapText="1"/>
    </xf>
    <xf numFmtId="178" fontId="42" fillId="0" borderId="52" xfId="0" applyNumberFormat="1" applyFont="1" applyBorder="1" applyAlignment="1">
      <alignment horizontal="center" vertical="center" wrapText="1"/>
    </xf>
    <xf numFmtId="180" fontId="0" fillId="0" borderId="0" xfId="8" applyNumberFormat="1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009999"/>
      <color rgb="0033CCCC"/>
      <color rgb="004ECA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0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100</v>
      </c>
      <c r="E9" s="116"/>
      <c r="F9" s="112"/>
      <c r="G9" s="117"/>
      <c r="H9" s="122"/>
      <c r="I9" s="122" t="s">
        <v>16</v>
      </c>
      <c r="K9" s="148">
        <f>D16</f>
        <v>0.4</v>
      </c>
      <c r="L9" s="117"/>
      <c r="M9" s="112"/>
      <c r="N9" s="116"/>
      <c r="O9" s="116"/>
      <c r="P9" s="122" t="s">
        <v>17</v>
      </c>
      <c r="Q9" s="153">
        <f>Q17*K9</f>
        <v>775.92</v>
      </c>
      <c r="R9" s="153"/>
      <c r="S9" s="112"/>
      <c r="T9" s="117"/>
      <c r="U9" s="116"/>
      <c r="V9" s="122" t="s">
        <v>18</v>
      </c>
      <c r="W9" s="158">
        <f>Q9*Q13*D10*D9</f>
        <v>151.3044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1.5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22995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45990</v>
      </c>
      <c r="R12" s="150"/>
      <c r="S12" s="112"/>
      <c r="T12" s="117"/>
      <c r="U12" s="116"/>
      <c r="V12" s="122" t="s">
        <v>27</v>
      </c>
      <c r="W12" s="158">
        <f>Q14*D9</f>
        <v>6295.5711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159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0.6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62.955711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784.3620096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0.4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0.65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1939.8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1163.88</v>
      </c>
      <c r="R18" s="164"/>
      <c r="S18" s="112"/>
      <c r="T18" s="117"/>
      <c r="U18" s="116"/>
      <c r="V18" s="122" t="s">
        <v>27</v>
      </c>
      <c r="W18" s="158">
        <f>Q26*Q24</f>
        <v>641.7197865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7.843620096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4.5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1260.87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25</v>
      </c>
      <c r="R24" s="150"/>
      <c r="S24" s="112"/>
      <c r="T24" s="117"/>
      <c r="U24" s="116"/>
      <c r="V24" s="126" t="s">
        <v>47</v>
      </c>
      <c r="W24" s="169">
        <v>2500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2500</v>
      </c>
      <c r="X25" s="117"/>
    </row>
    <row r="26" ht="15" spans="2:24">
      <c r="B26" s="113"/>
      <c r="C26" s="135" t="s">
        <v>49</v>
      </c>
      <c r="D26" s="138">
        <v>25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25.66879146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699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1.17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699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7872.9572961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94475.4875532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83587.4875532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31.5" customHeight="1" spans="3:3">
      <c r="C1" s="193" t="s">
        <v>282</v>
      </c>
    </row>
    <row r="2" ht="12" customHeight="1"/>
    <row r="3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14.25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1.75" customHeight="1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230</v>
      </c>
      <c r="E9" s="116"/>
      <c r="F9" s="112"/>
      <c r="G9" s="117"/>
      <c r="H9" s="122"/>
      <c r="I9" s="122" t="s">
        <v>16</v>
      </c>
      <c r="K9" s="148">
        <f>D16</f>
        <v>0.4</v>
      </c>
      <c r="L9" s="117"/>
      <c r="M9" s="112"/>
      <c r="N9" s="116"/>
      <c r="O9" s="116"/>
      <c r="P9" s="122" t="s">
        <v>17</v>
      </c>
      <c r="Q9" s="153">
        <f>Q17*K9</f>
        <v>390.4</v>
      </c>
      <c r="R9" s="153"/>
      <c r="S9" s="112"/>
      <c r="T9" s="117"/>
      <c r="U9" s="116"/>
      <c r="V9" s="122" t="s">
        <v>18</v>
      </c>
      <c r="W9" s="158">
        <f>Q9*Q13*D10*D9</f>
        <v>233.4592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10000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20000</v>
      </c>
      <c r="R12" s="150"/>
      <c r="S12" s="112"/>
      <c r="T12" s="117"/>
      <c r="U12" s="116"/>
      <c r="V12" s="122" t="s">
        <v>27</v>
      </c>
      <c r="W12" s="158">
        <f>Q14*D9</f>
        <v>7176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80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0.8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31.2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1034.40384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0.4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0.15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976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585.6</v>
      </c>
      <c r="R18" s="164"/>
      <c r="S18" s="112"/>
      <c r="T18" s="117"/>
      <c r="U18" s="116"/>
      <c r="V18" s="122" t="s">
        <v>27</v>
      </c>
      <c r="W18" s="158">
        <f>Q26*Q24</f>
        <v>127.368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4.497408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146.4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50</v>
      </c>
      <c r="R24" s="150"/>
      <c r="S24" s="112"/>
      <c r="T24" s="117"/>
      <c r="U24" s="116"/>
      <c r="V24" s="126" t="s">
        <v>47</v>
      </c>
      <c r="W24" s="169">
        <v>1999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1999</v>
      </c>
      <c r="X25" s="117"/>
    </row>
    <row r="26" ht="15" spans="2:24">
      <c r="B26" s="113"/>
      <c r="C26" s="135" t="s">
        <v>49</v>
      </c>
      <c r="D26" s="138">
        <v>50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2.54736</v>
      </c>
      <c r="R26" s="150"/>
      <c r="S26" s="112"/>
      <c r="T26" s="113"/>
      <c r="U26" s="116"/>
      <c r="V26" s="159"/>
      <c r="W26" s="160"/>
      <c r="X26" s="113"/>
    </row>
    <row r="27" ht="17.25" customHeight="1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899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899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8571.23104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102854.77248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90067.77248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281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200</v>
      </c>
      <c r="E9" s="116"/>
      <c r="F9" s="112"/>
      <c r="G9" s="117"/>
      <c r="H9" s="122"/>
      <c r="I9" s="122" t="s">
        <v>16</v>
      </c>
      <c r="K9" s="148">
        <f>D16</f>
        <v>0.4</v>
      </c>
      <c r="L9" s="117"/>
      <c r="M9" s="112"/>
      <c r="N9" s="116"/>
      <c r="O9" s="116"/>
      <c r="P9" s="122" t="s">
        <v>17</v>
      </c>
      <c r="Q9" s="153">
        <f>Q17*K9</f>
        <v>2278.35</v>
      </c>
      <c r="R9" s="153"/>
      <c r="S9" s="112"/>
      <c r="T9" s="117"/>
      <c r="U9" s="116"/>
      <c r="V9" s="122" t="s">
        <v>18</v>
      </c>
      <c r="W9" s="158">
        <f>Q9*Q13*D10*D9</f>
        <v>1184.742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16000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32000</v>
      </c>
      <c r="R12" s="150"/>
      <c r="S12" s="112"/>
      <c r="T12" s="117"/>
      <c r="U12" s="116"/>
      <c r="V12" s="122" t="s">
        <v>27</v>
      </c>
      <c r="W12" s="158">
        <f>Q14*D9</f>
        <v>11681.28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498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0.75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58.4064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6141.702528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0.4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0.2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5695.875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3417.525</v>
      </c>
      <c r="R18" s="164"/>
      <c r="S18" s="112"/>
      <c r="T18" s="117"/>
      <c r="U18" s="116"/>
      <c r="V18" s="122" t="s">
        <v>27</v>
      </c>
      <c r="W18" s="158">
        <f>Q26*Q24</f>
        <v>1159.5662325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30.70851264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4.5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1139.175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50</v>
      </c>
      <c r="R24" s="150"/>
      <c r="S24" s="112"/>
      <c r="T24" s="117"/>
      <c r="U24" s="116"/>
      <c r="V24" s="126" t="s">
        <v>47</v>
      </c>
      <c r="W24" s="169">
        <v>1999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1999</v>
      </c>
      <c r="X25" s="117"/>
    </row>
    <row r="26" ht="15" spans="2:24">
      <c r="B26" s="113"/>
      <c r="C26" s="135" t="s">
        <v>49</v>
      </c>
      <c r="D26" s="138">
        <v>50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23.19132465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649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1.17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649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20167.2907605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242007.489126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232220.489126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283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10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180</v>
      </c>
      <c r="E9" s="116"/>
      <c r="F9" s="112"/>
      <c r="G9" s="117"/>
      <c r="H9" s="122"/>
      <c r="I9" s="122" t="s">
        <v>16</v>
      </c>
      <c r="K9" s="148">
        <f>D16</f>
        <v>0.4</v>
      </c>
      <c r="L9" s="117"/>
      <c r="M9" s="112"/>
      <c r="N9" s="116"/>
      <c r="O9" s="116"/>
      <c r="P9" s="122" t="s">
        <v>17</v>
      </c>
      <c r="Q9" s="153">
        <f>Q17*K9</f>
        <v>34160</v>
      </c>
      <c r="R9" s="153"/>
      <c r="S9" s="112"/>
      <c r="T9" s="117"/>
      <c r="U9" s="116"/>
      <c r="V9" s="122" t="s">
        <v>18</v>
      </c>
      <c r="W9" s="158">
        <f>Q9*Q13*D10*D9</f>
        <v>15986.88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160000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320000</v>
      </c>
      <c r="R12" s="150"/>
      <c r="S12" s="112"/>
      <c r="T12" s="117"/>
      <c r="U12" s="116"/>
      <c r="V12" s="122" t="s">
        <v>27</v>
      </c>
      <c r="W12" s="158">
        <f>Q14*D9</f>
        <v>89856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7000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0.8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499.2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70834.176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0.4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0.15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85400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51240</v>
      </c>
      <c r="R18" s="164"/>
      <c r="S18" s="112"/>
      <c r="T18" s="117"/>
      <c r="U18" s="116"/>
      <c r="V18" s="122" t="s">
        <v>27</v>
      </c>
      <c r="W18" s="158">
        <f>Q26*Q24</f>
        <v>7801.29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393.5232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7">
      <c r="B22" s="113"/>
      <c r="C22" s="118" t="s">
        <v>42</v>
      </c>
      <c r="D22" s="132">
        <v>4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  <c r="AA22" s="194">
        <f>W9*12+W12*12</f>
        <v>1270114.56</v>
      </c>
    </row>
    <row r="23" spans="2:27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12810</v>
      </c>
      <c r="R23" s="150"/>
      <c r="S23" s="112"/>
      <c r="T23" s="117"/>
      <c r="U23" s="167" t="s">
        <v>44</v>
      </c>
      <c r="W23" s="150"/>
      <c r="X23" s="117"/>
      <c r="AA23" s="194">
        <f>W15*12</f>
        <v>850010.112</v>
      </c>
    </row>
    <row r="24" spans="2:27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v>35</v>
      </c>
      <c r="R24" s="150"/>
      <c r="S24" s="112"/>
      <c r="T24" s="117"/>
      <c r="U24" s="116"/>
      <c r="V24" s="126" t="s">
        <v>47</v>
      </c>
      <c r="W24" s="169">
        <v>2649</v>
      </c>
      <c r="X24" s="117"/>
      <c r="AA24" s="194">
        <f>W18*12</f>
        <v>93615.48</v>
      </c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26490</v>
      </c>
      <c r="X25" s="117"/>
    </row>
    <row r="26" ht="15" spans="2:27">
      <c r="B26" s="113"/>
      <c r="C26" s="135" t="s">
        <v>49</v>
      </c>
      <c r="D26" s="138">
        <v>50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222.894</v>
      </c>
      <c r="R26" s="150"/>
      <c r="S26" s="112"/>
      <c r="T26" s="113"/>
      <c r="U26" s="116"/>
      <c r="V26" s="159"/>
      <c r="W26" s="160"/>
      <c r="X26" s="113"/>
      <c r="AA26" s="194">
        <f>SUM(AA22:AA24)/180</f>
        <v>12298.5564</v>
      </c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1099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10990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184478.346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2213740.152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2055370.152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281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10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200</v>
      </c>
      <c r="E9" s="116"/>
      <c r="F9" s="112"/>
      <c r="G9" s="117"/>
      <c r="H9" s="122"/>
      <c r="I9" s="122" t="s">
        <v>16</v>
      </c>
      <c r="K9" s="148">
        <f>D16</f>
        <v>0.7</v>
      </c>
      <c r="L9" s="117"/>
      <c r="M9" s="112"/>
      <c r="N9" s="116"/>
      <c r="O9" s="116"/>
      <c r="P9" s="122" t="s">
        <v>17</v>
      </c>
      <c r="Q9" s="153">
        <f>Q17*K9</f>
        <v>4270</v>
      </c>
      <c r="R9" s="153"/>
      <c r="S9" s="112"/>
      <c r="T9" s="117"/>
      <c r="U9" s="116"/>
      <c r="V9" s="122" t="s">
        <v>18</v>
      </c>
      <c r="W9" s="158">
        <f>Q9*Q13*D10*D9</f>
        <v>3330.6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3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160000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320000</v>
      </c>
      <c r="R12" s="150"/>
      <c r="S12" s="112"/>
      <c r="T12" s="117"/>
      <c r="U12" s="116"/>
      <c r="V12" s="122" t="s">
        <v>27</v>
      </c>
      <c r="W12" s="158">
        <f>Q14*D9</f>
        <v>175219.2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1000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0.6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876.096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17265.8304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0.7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0.15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6100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6405</v>
      </c>
      <c r="R18" s="164"/>
      <c r="S18" s="112"/>
      <c r="T18" s="117"/>
      <c r="U18" s="116"/>
      <c r="V18" s="122" t="s">
        <v>27</v>
      </c>
      <c r="W18" s="158">
        <f>Q26*Q24</f>
        <v>931.3785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86.329152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4.5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915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50</v>
      </c>
      <c r="R24" s="150"/>
      <c r="S24" s="112"/>
      <c r="T24" s="117"/>
      <c r="U24" s="116"/>
      <c r="V24" s="126" t="s">
        <v>47</v>
      </c>
      <c r="W24" s="169">
        <v>2367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23670</v>
      </c>
      <c r="X25" s="117"/>
    </row>
    <row r="26" ht="15" spans="2:24">
      <c r="B26" s="113"/>
      <c r="C26" s="135" t="s">
        <v>49</v>
      </c>
      <c r="D26" s="138">
        <v>50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18.62757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746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1.17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7460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196747.0089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2360964.1068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2247774.1068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284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100</v>
      </c>
      <c r="E9" s="116"/>
      <c r="F9" s="112"/>
      <c r="G9" s="117"/>
      <c r="H9" s="122"/>
      <c r="I9" s="122" t="s">
        <v>16</v>
      </c>
      <c r="K9" s="148">
        <f>D16</f>
        <v>0.65</v>
      </c>
      <c r="L9" s="117"/>
      <c r="M9" s="112"/>
      <c r="N9" s="116"/>
      <c r="O9" s="116"/>
      <c r="P9" s="122" t="s">
        <v>17</v>
      </c>
      <c r="Q9" s="153">
        <f>Q17*K9</f>
        <v>644.3125</v>
      </c>
      <c r="R9" s="153"/>
      <c r="S9" s="112"/>
      <c r="T9" s="117"/>
      <c r="U9" s="116"/>
      <c r="V9" s="122" t="s">
        <v>18</v>
      </c>
      <c r="W9" s="158">
        <f>Q9*Q13*D10*D9</f>
        <v>167.52125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16000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32000</v>
      </c>
      <c r="R12" s="150"/>
      <c r="S12" s="112"/>
      <c r="T12" s="117"/>
      <c r="U12" s="116"/>
      <c r="V12" s="122" t="s">
        <v>27</v>
      </c>
      <c r="W12" s="158">
        <f>Q14*D9</f>
        <v>4992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100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0.65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49.92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742.248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0.65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0.2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991.25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966.46875</v>
      </c>
      <c r="R18" s="164"/>
      <c r="S18" s="112"/>
      <c r="T18" s="117"/>
      <c r="U18" s="116"/>
      <c r="V18" s="122" t="s">
        <v>27</v>
      </c>
      <c r="W18" s="158">
        <f>Q26*Q24</f>
        <v>172.4775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7.42248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198.25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50</v>
      </c>
      <c r="R24" s="150"/>
      <c r="S24" s="112"/>
      <c r="T24" s="117"/>
      <c r="U24" s="116"/>
      <c r="V24" s="126" t="s">
        <v>47</v>
      </c>
      <c r="W24" s="169">
        <v>3000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3000</v>
      </c>
      <c r="X25" s="117"/>
    </row>
    <row r="26" ht="15" spans="2:24">
      <c r="B26" s="113"/>
      <c r="C26" s="135" t="s">
        <v>49</v>
      </c>
      <c r="D26" s="138">
        <v>50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3.44955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880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880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6074.24675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72890.961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59330.961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51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4.42857142857143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285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6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170</v>
      </c>
      <c r="E9" s="116"/>
      <c r="F9" s="112"/>
      <c r="G9" s="117"/>
      <c r="H9" s="122"/>
      <c r="I9" s="122" t="s">
        <v>16</v>
      </c>
      <c r="K9" s="148">
        <f>D16</f>
        <v>0.4</v>
      </c>
      <c r="L9" s="117"/>
      <c r="M9" s="112"/>
      <c r="N9" s="116"/>
      <c r="O9" s="116"/>
      <c r="P9" s="122" t="s">
        <v>17</v>
      </c>
      <c r="Q9" s="153">
        <f>Q17*K9</f>
        <v>5610.475</v>
      </c>
      <c r="R9" s="153"/>
      <c r="S9" s="112"/>
      <c r="T9" s="117"/>
      <c r="U9" s="116"/>
      <c r="V9" s="122" t="s">
        <v>18</v>
      </c>
      <c r="W9" s="158">
        <f>Q9*Q13*D10*D9</f>
        <v>2479.82995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60000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120000</v>
      </c>
      <c r="R12" s="150"/>
      <c r="S12" s="112"/>
      <c r="T12" s="117"/>
      <c r="U12" s="116"/>
      <c r="V12" s="122" t="s">
        <v>27</v>
      </c>
      <c r="W12" s="158">
        <f>Q14*D9</f>
        <v>37234.08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1415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0.65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219.024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12855.4384608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0.4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0.1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14026.1875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8415.7125</v>
      </c>
      <c r="R18" s="164"/>
      <c r="S18" s="112"/>
      <c r="T18" s="117"/>
      <c r="U18" s="116"/>
      <c r="V18" s="122" t="s">
        <v>27</v>
      </c>
      <c r="W18" s="158">
        <f>Q26*Q24</f>
        <v>1427.725625625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75.62022624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4.5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1402.61875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50</v>
      </c>
      <c r="R24" s="150"/>
      <c r="S24" s="112"/>
      <c r="T24" s="117"/>
      <c r="U24" s="116"/>
      <c r="V24" s="126" t="s">
        <v>47</v>
      </c>
      <c r="W24" s="169">
        <v>3000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18000</v>
      </c>
      <c r="X25" s="117"/>
    </row>
    <row r="26" ht="15" spans="2:24">
      <c r="B26" s="113"/>
      <c r="C26" s="135" t="s">
        <v>49</v>
      </c>
      <c r="D26" s="138">
        <v>50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28.5545125125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880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1.17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5280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53997.074036425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647964.8884371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566604.8884371</v>
      </c>
      <c r="X37" s="177"/>
    </row>
    <row r="38" ht="12.75" spans="20:24">
      <c r="T38" s="177"/>
      <c r="X38" s="177"/>
    </row>
    <row r="45" ht="12.75" spans="4:5">
      <c r="D45" s="92" t="s">
        <v>286</v>
      </c>
      <c r="E45" s="92" t="s">
        <v>287</v>
      </c>
    </row>
    <row r="46" ht="12.75" spans="3:6">
      <c r="C46" s="92" t="s">
        <v>288</v>
      </c>
      <c r="D46" s="92">
        <v>538</v>
      </c>
      <c r="E46" s="92">
        <v>200</v>
      </c>
      <c r="F46" s="92"/>
    </row>
    <row r="47" ht="12.75" spans="3:6">
      <c r="C47" s="92" t="s">
        <v>289</v>
      </c>
      <c r="D47" s="92">
        <v>193</v>
      </c>
      <c r="E47" s="92">
        <v>300</v>
      </c>
      <c r="F47" s="92"/>
    </row>
    <row r="48" ht="12.75" spans="3:6">
      <c r="C48" s="92" t="s">
        <v>290</v>
      </c>
      <c r="D48" s="92">
        <v>160</v>
      </c>
      <c r="E48" s="92">
        <v>260</v>
      </c>
      <c r="F48" s="92"/>
    </row>
    <row r="49" ht="12.75" spans="3:6">
      <c r="C49" s="92" t="s">
        <v>291</v>
      </c>
      <c r="D49" s="92">
        <v>255</v>
      </c>
      <c r="E49" s="92">
        <v>112</v>
      </c>
      <c r="F49" s="92"/>
    </row>
    <row r="50" ht="12.75" spans="3:6">
      <c r="C50" s="92" t="s">
        <v>292</v>
      </c>
      <c r="D50" s="92">
        <v>122</v>
      </c>
      <c r="E50" s="92">
        <v>157</v>
      </c>
      <c r="F50" s="92"/>
    </row>
    <row r="51" ht="12.75" spans="3:5">
      <c r="C51" s="92" t="s">
        <v>293</v>
      </c>
      <c r="D51" s="92">
        <v>147</v>
      </c>
      <c r="E51" s="92">
        <v>210</v>
      </c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284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350</v>
      </c>
      <c r="E9" s="116"/>
      <c r="F9" s="112"/>
      <c r="G9" s="117"/>
      <c r="H9" s="122"/>
      <c r="I9" s="122" t="s">
        <v>16</v>
      </c>
      <c r="K9" s="148">
        <f>D16</f>
        <v>0.75</v>
      </c>
      <c r="L9" s="117"/>
      <c r="M9" s="112"/>
      <c r="N9" s="116"/>
      <c r="O9" s="116"/>
      <c r="P9" s="122" t="s">
        <v>17</v>
      </c>
      <c r="Q9" s="153">
        <f>Q17*K9</f>
        <v>557.578125</v>
      </c>
      <c r="R9" s="153"/>
      <c r="S9" s="112"/>
      <c r="T9" s="117"/>
      <c r="U9" s="116"/>
      <c r="V9" s="122" t="s">
        <v>18</v>
      </c>
      <c r="W9" s="158">
        <f>Q9*Q13*D10*D9</f>
        <v>234.1828125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10000</v>
      </c>
      <c r="E12" s="116"/>
      <c r="F12" s="112"/>
      <c r="G12" s="116"/>
      <c r="H12" s="126"/>
      <c r="I12" s="126" t="s">
        <v>25</v>
      </c>
      <c r="K12" s="151">
        <v>1</v>
      </c>
      <c r="L12" s="117"/>
      <c r="M12" s="112"/>
      <c r="N12" s="116"/>
      <c r="O12" s="116"/>
      <c r="P12" s="152" t="s">
        <v>26</v>
      </c>
      <c r="Q12" s="161">
        <f>D30*D12</f>
        <v>10000</v>
      </c>
      <c r="R12" s="150"/>
      <c r="S12" s="112"/>
      <c r="T12" s="117"/>
      <c r="U12" s="116"/>
      <c r="V12" s="122" t="s">
        <v>27</v>
      </c>
      <c r="W12" s="158">
        <f>Q14*D9</f>
        <v>3931.2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75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0.0006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0.65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11.232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3835.91446875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0.75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0.2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743.4375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836.3671875</v>
      </c>
      <c r="R18" s="164"/>
      <c r="S18" s="112"/>
      <c r="T18" s="117"/>
      <c r="U18" s="116"/>
      <c r="V18" s="122" t="s">
        <v>27</v>
      </c>
      <c r="W18" s="158">
        <f>Q26*Q24</f>
        <v>473.1831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0.007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10.959755625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21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4.5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148.6875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100</v>
      </c>
      <c r="R24" s="150"/>
      <c r="S24" s="112"/>
      <c r="T24" s="117"/>
      <c r="U24" s="116"/>
      <c r="V24" s="126" t="s">
        <v>47</v>
      </c>
      <c r="W24" s="169">
        <v>1500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27391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0.034</v>
      </c>
      <c r="R25" s="164"/>
      <c r="S25" s="112"/>
      <c r="T25" s="117"/>
      <c r="U25" s="116"/>
      <c r="V25" s="122" t="s">
        <v>48</v>
      </c>
      <c r="W25" s="158">
        <f>W24*D8</f>
        <v>1500</v>
      </c>
      <c r="X25" s="117"/>
    </row>
    <row r="26" ht="15" spans="2:24">
      <c r="B26" s="113"/>
      <c r="C26" s="135" t="s">
        <v>49</v>
      </c>
      <c r="D26" s="138">
        <v>100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4.731831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0.8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599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1.17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599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1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8474.48038125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101693.764575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93005.764575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294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2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90</v>
      </c>
      <c r="E9" s="116"/>
      <c r="F9" s="112"/>
      <c r="G9" s="117"/>
      <c r="H9" s="122"/>
      <c r="I9" s="122" t="s">
        <v>16</v>
      </c>
      <c r="K9" s="148">
        <f>D16</f>
        <v>0.75</v>
      </c>
      <c r="L9" s="117"/>
      <c r="M9" s="112"/>
      <c r="N9" s="116"/>
      <c r="O9" s="116"/>
      <c r="P9" s="122" t="s">
        <v>17</v>
      </c>
      <c r="Q9" s="153">
        <f>Q17*K9</f>
        <v>549</v>
      </c>
      <c r="R9" s="153"/>
      <c r="S9" s="112"/>
      <c r="T9" s="117"/>
      <c r="U9" s="116"/>
      <c r="V9" s="122" t="s">
        <v>18</v>
      </c>
      <c r="W9" s="158">
        <f>Q9*Q13*D10*D9</f>
        <v>88.938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200</v>
      </c>
      <c r="E12" s="116"/>
      <c r="F12" s="112"/>
      <c r="G12" s="116"/>
      <c r="H12" s="126"/>
      <c r="I12" s="126" t="s">
        <v>25</v>
      </c>
      <c r="K12" s="151">
        <v>3</v>
      </c>
      <c r="L12" s="117"/>
      <c r="M12" s="112"/>
      <c r="N12" s="116"/>
      <c r="O12" s="116"/>
      <c r="P12" s="152" t="s">
        <v>26</v>
      </c>
      <c r="Q12" s="161">
        <f>D30*D12</f>
        <v>460</v>
      </c>
      <c r="R12" s="150"/>
      <c r="S12" s="112"/>
      <c r="T12" s="117"/>
      <c r="U12" s="116"/>
      <c r="V12" s="122" t="s">
        <v>27</v>
      </c>
      <c r="W12" s="158">
        <f>Q14*D9</f>
        <v>87.1884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80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0.0009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0.6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0.96876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1214.0037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0.75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0.2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732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823.5</v>
      </c>
      <c r="R18" s="164"/>
      <c r="S18" s="112"/>
      <c r="T18" s="117"/>
      <c r="U18" s="116"/>
      <c r="V18" s="122" t="s">
        <v>27</v>
      </c>
      <c r="W18" s="158">
        <f>Q26*Q24</f>
        <v>328.302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0.007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13.48893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295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4.5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146.4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3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50</v>
      </c>
      <c r="R24" s="150"/>
      <c r="S24" s="112"/>
      <c r="T24" s="117"/>
      <c r="U24" s="116"/>
      <c r="V24" s="126" t="s">
        <v>47</v>
      </c>
      <c r="W24" s="169">
        <v>2449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33137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0.0383333333333333</v>
      </c>
      <c r="R25" s="164"/>
      <c r="S25" s="112"/>
      <c r="T25" s="117"/>
      <c r="U25" s="116"/>
      <c r="V25" s="122" t="s">
        <v>48</v>
      </c>
      <c r="W25" s="158">
        <f>W24*D8</f>
        <v>4898</v>
      </c>
      <c r="X25" s="117"/>
    </row>
    <row r="26" ht="15" spans="2:24">
      <c r="B26" s="113"/>
      <c r="C26" s="135" t="s">
        <v>49</v>
      </c>
      <c r="D26" s="138">
        <v>50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6.56604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1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549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1.17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1098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2.3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1718.4321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20621.1852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2547.1852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P5"/>
  <sheetViews>
    <sheetView workbookViewId="0">
      <selection activeCell="A1" sqref="A1"/>
    </sheetView>
  </sheetViews>
  <sheetFormatPr defaultColWidth="14.4285714285714" defaultRowHeight="15.75" customHeight="1" outlineLevelRow="4"/>
  <cols>
    <col min="1" max="1" width="21" customWidth="1"/>
  </cols>
  <sheetData>
    <row r="2" customHeight="1" spans="2:15">
      <c r="B2" s="191" t="s">
        <v>296</v>
      </c>
      <c r="C2" s="191" t="s">
        <v>297</v>
      </c>
      <c r="D2" s="191" t="s">
        <v>298</v>
      </c>
      <c r="E2" s="191" t="s">
        <v>299</v>
      </c>
      <c r="F2" s="191" t="s">
        <v>300</v>
      </c>
      <c r="G2" s="191" t="s">
        <v>301</v>
      </c>
      <c r="H2" s="191" t="s">
        <v>302</v>
      </c>
      <c r="I2" s="191" t="s">
        <v>303</v>
      </c>
      <c r="J2" s="191" t="s">
        <v>304</v>
      </c>
      <c r="K2" s="191" t="s">
        <v>305</v>
      </c>
      <c r="L2" s="191" t="s">
        <v>306</v>
      </c>
      <c r="M2" s="191" t="s">
        <v>307</v>
      </c>
      <c r="O2" s="92" t="s">
        <v>308</v>
      </c>
    </row>
    <row r="3" customHeight="1" spans="1:16">
      <c r="A3" s="92" t="s">
        <v>309</v>
      </c>
      <c r="B3">
        <f>($P$3*$P$4)/$P$5</f>
        <v>24</v>
      </c>
      <c r="C3">
        <f t="shared" ref="C3:M3" si="0">(($P$3*$P$4)/$P$5)+B3</f>
        <v>48</v>
      </c>
      <c r="D3">
        <f t="shared" si="0"/>
        <v>72</v>
      </c>
      <c r="E3">
        <f t="shared" si="0"/>
        <v>96</v>
      </c>
      <c r="F3">
        <f t="shared" si="0"/>
        <v>120</v>
      </c>
      <c r="G3">
        <f t="shared" si="0"/>
        <v>144</v>
      </c>
      <c r="H3">
        <f t="shared" si="0"/>
        <v>168</v>
      </c>
      <c r="I3">
        <f t="shared" si="0"/>
        <v>192</v>
      </c>
      <c r="J3">
        <f t="shared" si="0"/>
        <v>216</v>
      </c>
      <c r="K3">
        <f t="shared" si="0"/>
        <v>240</v>
      </c>
      <c r="L3">
        <f t="shared" si="0"/>
        <v>264</v>
      </c>
      <c r="M3">
        <f t="shared" si="0"/>
        <v>288</v>
      </c>
      <c r="O3" s="92" t="s">
        <v>310</v>
      </c>
      <c r="P3" s="92">
        <v>80</v>
      </c>
    </row>
    <row r="4" customHeight="1" spans="1:16">
      <c r="A4" s="92" t="s">
        <v>311</v>
      </c>
      <c r="O4" s="92" t="s">
        <v>312</v>
      </c>
      <c r="P4" s="192">
        <v>0.6</v>
      </c>
    </row>
    <row r="5" customHeight="1" spans="15:16">
      <c r="O5" s="92" t="s">
        <v>313</v>
      </c>
      <c r="P5" s="92">
        <v>2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AK37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12" customHeight="1"/>
    <row r="2" ht="19.5" customHeight="1" spans="2:24">
      <c r="B2" s="109"/>
      <c r="C2" s="110" t="s">
        <v>1</v>
      </c>
      <c r="D2" s="110"/>
      <c r="E2" s="111"/>
      <c r="F2" s="112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3"/>
      <c r="S2" s="3"/>
      <c r="T2" s="3"/>
      <c r="U2" s="3"/>
      <c r="V2" s="3"/>
      <c r="W2" s="3"/>
      <c r="X2" s="3"/>
    </row>
    <row r="3" ht="21" customHeight="1" spans="2:24">
      <c r="B3" s="109"/>
      <c r="C3" s="110" t="s">
        <v>2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9" customHeight="1" spans="3:24">
      <c r="C4" s="3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20.25" spans="2:33">
      <c r="B5" s="4"/>
      <c r="C5" s="5" t="s">
        <v>3</v>
      </c>
      <c r="D5" s="6"/>
      <c r="E5" s="7"/>
      <c r="F5" s="3"/>
      <c r="G5" s="8" t="s">
        <v>4</v>
      </c>
      <c r="J5" s="46"/>
      <c r="K5" s="47"/>
      <c r="L5" s="8"/>
      <c r="M5" s="48"/>
      <c r="N5" s="49" t="s">
        <v>5</v>
      </c>
      <c r="Q5" s="64"/>
      <c r="R5" s="64"/>
      <c r="S5" s="3"/>
      <c r="T5" s="65" t="s">
        <v>6</v>
      </c>
      <c r="W5" s="66"/>
      <c r="X5" s="66"/>
      <c r="Z5" s="180"/>
      <c r="AC5" s="181"/>
      <c r="AD5" s="181"/>
      <c r="AE5" s="182"/>
      <c r="AF5" s="182"/>
      <c r="AG5" s="182"/>
    </row>
    <row r="6" ht="21" spans="2:32">
      <c r="B6" s="113"/>
      <c r="C6" s="114"/>
      <c r="D6" s="115"/>
      <c r="E6" s="116"/>
      <c r="F6" s="112"/>
      <c r="G6" s="117"/>
      <c r="H6" s="117"/>
      <c r="I6" s="117"/>
      <c r="J6" s="117"/>
      <c r="K6" s="144"/>
      <c r="L6" s="117"/>
      <c r="M6" s="112"/>
      <c r="N6" s="117"/>
      <c r="O6" s="117"/>
      <c r="P6" s="117"/>
      <c r="Q6" s="144"/>
      <c r="R6" s="144"/>
      <c r="S6" s="112"/>
      <c r="T6" s="117"/>
      <c r="U6" s="117"/>
      <c r="V6" s="117"/>
      <c r="W6" s="144"/>
      <c r="X6" s="117"/>
      <c r="Z6" s="183"/>
      <c r="AA6" s="184" t="s">
        <v>7</v>
      </c>
      <c r="AB6" s="184" t="s">
        <v>8</v>
      </c>
      <c r="AC6" s="184" t="s">
        <v>9</v>
      </c>
      <c r="AD6" s="184" t="s">
        <v>10</v>
      </c>
      <c r="AE6" s="185" t="s">
        <v>11</v>
      </c>
      <c r="AF6" s="185" t="s">
        <v>8</v>
      </c>
    </row>
    <row r="7" spans="2:37">
      <c r="B7" s="113"/>
      <c r="C7" s="118" t="s">
        <v>12</v>
      </c>
      <c r="D7" s="119">
        <v>7</v>
      </c>
      <c r="E7" s="116"/>
      <c r="F7" s="112"/>
      <c r="G7" s="117"/>
      <c r="H7" s="120" t="s">
        <v>13</v>
      </c>
      <c r="I7" s="145"/>
      <c r="J7" s="146"/>
      <c r="K7" s="147"/>
      <c r="L7" s="117"/>
      <c r="M7" s="112"/>
      <c r="N7" s="116"/>
      <c r="O7" s="120" t="s">
        <v>13</v>
      </c>
      <c r="P7" s="145"/>
      <c r="Q7" s="147"/>
      <c r="R7" s="150"/>
      <c r="S7" s="112"/>
      <c r="T7" s="117"/>
      <c r="U7" s="157" t="s">
        <v>13</v>
      </c>
      <c r="V7" s="145"/>
      <c r="W7" s="147"/>
      <c r="X7" s="117"/>
      <c r="Z7" s="186" t="s">
        <v>14</v>
      </c>
      <c r="AA7" s="187">
        <v>3</v>
      </c>
      <c r="AB7" s="188">
        <v>0.0009</v>
      </c>
      <c r="AC7" s="189">
        <v>33137</v>
      </c>
      <c r="AD7" s="188">
        <v>0.007</v>
      </c>
      <c r="AE7" s="190">
        <v>35</v>
      </c>
      <c r="AF7" s="188">
        <f>AVERAGE(AF8:AF10)</f>
        <v>0.0383333333333333</v>
      </c>
      <c r="AG7" s="89"/>
      <c r="AH7" s="89"/>
      <c r="AI7" s="89"/>
      <c r="AJ7" s="92"/>
      <c r="AK7" s="92"/>
    </row>
    <row r="8" spans="2:35">
      <c r="B8" s="113"/>
      <c r="C8" s="118" t="s">
        <v>15</v>
      </c>
      <c r="D8" s="121">
        <v>300</v>
      </c>
      <c r="E8" s="116"/>
      <c r="F8" s="112"/>
      <c r="G8" s="117"/>
      <c r="H8" s="122"/>
      <c r="I8" s="122" t="s">
        <v>16</v>
      </c>
      <c r="K8" s="148">
        <f>D15</f>
        <v>0.35</v>
      </c>
      <c r="L8" s="117"/>
      <c r="M8" s="112"/>
      <c r="N8" s="116"/>
      <c r="O8" s="116"/>
      <c r="P8" s="122" t="s">
        <v>17</v>
      </c>
      <c r="Q8" s="153">
        <f>Q16*K8</f>
        <v>206.739166666667</v>
      </c>
      <c r="R8" s="153"/>
      <c r="S8" s="112"/>
      <c r="T8" s="117"/>
      <c r="U8" s="116"/>
      <c r="V8" s="122" t="s">
        <v>18</v>
      </c>
      <c r="W8" s="158">
        <f>Q8*Q12*D9*D8</f>
        <v>100.475235</v>
      </c>
      <c r="X8" s="117"/>
      <c r="Z8" s="186" t="s">
        <v>19</v>
      </c>
      <c r="AA8" s="187">
        <v>4</v>
      </c>
      <c r="AB8" s="188">
        <v>0.0009</v>
      </c>
      <c r="AC8" s="189">
        <v>42753</v>
      </c>
      <c r="AD8" s="188">
        <v>0.0059</v>
      </c>
      <c r="AE8" s="190">
        <v>40</v>
      </c>
      <c r="AF8" s="188">
        <v>0.052</v>
      </c>
      <c r="AG8" s="89"/>
      <c r="AH8" s="89"/>
      <c r="AI8" s="89"/>
    </row>
    <row r="9" spans="2:35">
      <c r="B9" s="113"/>
      <c r="C9" s="118" t="s">
        <v>20</v>
      </c>
      <c r="D9" s="123">
        <v>1.8</v>
      </c>
      <c r="E9" s="116"/>
      <c r="F9" s="112"/>
      <c r="G9" s="117"/>
      <c r="H9" s="122"/>
      <c r="I9" s="122"/>
      <c r="K9" s="149"/>
      <c r="L9" s="117"/>
      <c r="M9" s="112"/>
      <c r="N9" s="116"/>
      <c r="O9" s="116"/>
      <c r="P9" s="122"/>
      <c r="Q9" s="116"/>
      <c r="R9" s="153"/>
      <c r="S9" s="112"/>
      <c r="T9" s="117"/>
      <c r="U9" s="116"/>
      <c r="V9" s="159"/>
      <c r="W9" s="160"/>
      <c r="X9" s="117"/>
      <c r="Z9" s="186" t="s">
        <v>21</v>
      </c>
      <c r="AA9" s="187">
        <v>2</v>
      </c>
      <c r="AB9" s="188">
        <v>0.0013</v>
      </c>
      <c r="AC9" s="189">
        <v>29052</v>
      </c>
      <c r="AD9" s="188">
        <v>0.0064</v>
      </c>
      <c r="AE9" s="190">
        <v>28</v>
      </c>
      <c r="AF9" s="188">
        <v>0.029</v>
      </c>
      <c r="AG9" s="91"/>
      <c r="AH9" s="89"/>
      <c r="AI9" s="89"/>
    </row>
    <row r="10" spans="2:35">
      <c r="B10" s="113"/>
      <c r="C10" s="124"/>
      <c r="D10" s="125"/>
      <c r="E10" s="116"/>
      <c r="F10" s="112"/>
      <c r="G10" s="117"/>
      <c r="H10" s="120" t="s">
        <v>22</v>
      </c>
      <c r="I10" s="145"/>
      <c r="J10" s="145"/>
      <c r="K10" s="150"/>
      <c r="L10" s="117"/>
      <c r="M10" s="112"/>
      <c r="N10" s="116"/>
      <c r="O10" s="120" t="s">
        <v>22</v>
      </c>
      <c r="P10" s="145"/>
      <c r="Q10" s="150"/>
      <c r="R10" s="149"/>
      <c r="S10" s="112"/>
      <c r="T10" s="117"/>
      <c r="U10" s="157" t="s">
        <v>22</v>
      </c>
      <c r="V10" s="145"/>
      <c r="W10" s="147"/>
      <c r="X10" s="117"/>
      <c r="Z10" s="186" t="s">
        <v>23</v>
      </c>
      <c r="AA10" s="187">
        <v>2</v>
      </c>
      <c r="AB10" s="188">
        <v>0.0006</v>
      </c>
      <c r="AC10" s="189">
        <v>27391</v>
      </c>
      <c r="AD10" s="188">
        <v>0.007</v>
      </c>
      <c r="AE10" s="190">
        <v>23</v>
      </c>
      <c r="AF10" s="188">
        <v>0.034</v>
      </c>
      <c r="AG10" s="91"/>
      <c r="AH10" s="89"/>
      <c r="AI10" s="89"/>
    </row>
    <row r="11" spans="2:35">
      <c r="B11" s="113"/>
      <c r="C11" s="118" t="s">
        <v>24</v>
      </c>
      <c r="D11" s="119">
        <v>30000</v>
      </c>
      <c r="E11" s="116"/>
      <c r="F11" s="112"/>
      <c r="G11" s="116"/>
      <c r="H11" s="126"/>
      <c r="I11" s="126" t="s">
        <v>25</v>
      </c>
      <c r="K11" s="151">
        <v>2</v>
      </c>
      <c r="L11" s="117"/>
      <c r="M11" s="112"/>
      <c r="N11" s="116"/>
      <c r="O11" s="116"/>
      <c r="P11" s="152" t="s">
        <v>26</v>
      </c>
      <c r="Q11" s="161">
        <f>D29*D11</f>
        <v>60000</v>
      </c>
      <c r="R11" s="150"/>
      <c r="S11" s="112"/>
      <c r="T11" s="117"/>
      <c r="U11" s="116"/>
      <c r="V11" s="122" t="s">
        <v>27</v>
      </c>
      <c r="W11" s="158">
        <f>Q13*D8</f>
        <v>43740</v>
      </c>
      <c r="X11" s="117"/>
      <c r="Z11" s="88"/>
      <c r="AA11" s="88"/>
      <c r="AB11" s="88"/>
      <c r="AC11" s="88"/>
      <c r="AD11" s="89"/>
      <c r="AF11" s="88"/>
      <c r="AG11" s="91"/>
      <c r="AH11" s="89"/>
      <c r="AI11" s="89"/>
    </row>
    <row r="12" spans="2:35">
      <c r="B12" s="113"/>
      <c r="C12" s="118" t="s">
        <v>28</v>
      </c>
      <c r="D12" s="123">
        <v>42</v>
      </c>
      <c r="E12" s="116"/>
      <c r="F12" s="112"/>
      <c r="G12" s="116"/>
      <c r="H12" s="116"/>
      <c r="I12" s="116"/>
      <c r="J12" s="116"/>
      <c r="K12" s="150"/>
      <c r="L12" s="117"/>
      <c r="M12" s="112"/>
      <c r="N12" s="116"/>
      <c r="O12" s="116"/>
      <c r="P12" s="152" t="s">
        <v>29</v>
      </c>
      <c r="Q12" s="162">
        <f>IF(D20="Global",AB7,IF(D20="Americas",AB8,IF(D20="APAC",AB9,IF(D20="EMEA",AB10))))</f>
        <v>0.0009</v>
      </c>
      <c r="R12" s="153"/>
      <c r="S12" s="112"/>
      <c r="T12" s="117"/>
      <c r="U12" s="116"/>
      <c r="V12" s="116"/>
      <c r="W12" s="116"/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30</v>
      </c>
      <c r="D13" s="127">
        <v>0.83</v>
      </c>
      <c r="E13" s="116"/>
      <c r="F13" s="112"/>
      <c r="G13" s="116"/>
      <c r="H13" s="120" t="s">
        <v>31</v>
      </c>
      <c r="I13" s="145"/>
      <c r="J13" s="145"/>
      <c r="K13" s="150"/>
      <c r="L13" s="117"/>
      <c r="M13" s="112"/>
      <c r="N13" s="116"/>
      <c r="O13" s="116"/>
      <c r="P13" s="122" t="s">
        <v>32</v>
      </c>
      <c r="Q13" s="153">
        <f>Q12*Q11*D28*D27*D9</f>
        <v>145.8</v>
      </c>
      <c r="R13" s="153"/>
      <c r="S13" s="112"/>
      <c r="T13" s="117"/>
      <c r="U13" s="157" t="s">
        <v>33</v>
      </c>
      <c r="V13" s="145"/>
      <c r="W13" s="147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24"/>
      <c r="D14" s="125"/>
      <c r="E14" s="116"/>
      <c r="F14" s="112"/>
      <c r="G14" s="116"/>
      <c r="H14" s="126"/>
      <c r="I14" s="126" t="s">
        <v>25</v>
      </c>
      <c r="K14" s="151">
        <v>3</v>
      </c>
      <c r="L14" s="117"/>
      <c r="M14" s="112"/>
      <c r="N14" s="116"/>
      <c r="O14" s="113"/>
      <c r="P14" s="113"/>
      <c r="Q14" s="113"/>
      <c r="R14" s="149"/>
      <c r="S14" s="112"/>
      <c r="T14" s="117"/>
      <c r="U14" s="116"/>
      <c r="V14" s="122" t="s">
        <v>27</v>
      </c>
      <c r="W14" s="158">
        <f>Q19*D8</f>
        <v>1482.00971625</v>
      </c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9"/>
      <c r="C15" s="118" t="s">
        <v>34</v>
      </c>
      <c r="D15" s="127">
        <v>0.35</v>
      </c>
      <c r="E15" s="9"/>
      <c r="F15" s="112"/>
      <c r="G15" s="117"/>
      <c r="H15" s="122"/>
      <c r="I15" s="122"/>
      <c r="K15" s="153"/>
      <c r="L15" s="117"/>
      <c r="M15" s="112"/>
      <c r="N15" s="116"/>
      <c r="O15" s="120" t="s">
        <v>31</v>
      </c>
      <c r="P15" s="145"/>
      <c r="Q15" s="150"/>
      <c r="R15" s="116"/>
      <c r="S15" s="112"/>
      <c r="T15" s="117"/>
      <c r="U15" s="116"/>
      <c r="V15" s="116"/>
      <c r="W15" s="116"/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35</v>
      </c>
      <c r="D16" s="127">
        <v>0.3</v>
      </c>
      <c r="E16" s="9"/>
      <c r="F16" s="112"/>
      <c r="G16" s="116"/>
      <c r="H16" s="120" t="s">
        <v>36</v>
      </c>
      <c r="I16" s="145"/>
      <c r="J16" s="145"/>
      <c r="K16" s="150"/>
      <c r="L16" s="117"/>
      <c r="M16" s="112"/>
      <c r="N16" s="116"/>
      <c r="O16" s="116"/>
      <c r="P16" s="122" t="s">
        <v>37</v>
      </c>
      <c r="Q16" s="153">
        <f>(30.5/D9)*D12*D13</f>
        <v>590.683333333333</v>
      </c>
      <c r="R16" s="150"/>
      <c r="S16" s="112"/>
      <c r="T16" s="117"/>
      <c r="U16" s="157" t="s">
        <v>36</v>
      </c>
      <c r="V16" s="145"/>
      <c r="W16" s="147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ht="21" customHeight="1" spans="2:35">
      <c r="B17" s="113"/>
      <c r="C17" s="124"/>
      <c r="D17" s="125"/>
      <c r="E17" s="116"/>
      <c r="F17" s="112"/>
      <c r="G17" s="113"/>
      <c r="H17" s="126"/>
      <c r="I17" s="126" t="s">
        <v>25</v>
      </c>
      <c r="K17" s="151" t="s">
        <v>38</v>
      </c>
      <c r="L17" s="113"/>
      <c r="M17" s="112"/>
      <c r="N17" s="116"/>
      <c r="O17" s="116"/>
      <c r="P17" s="152" t="s">
        <v>26</v>
      </c>
      <c r="Q17" s="163">
        <f>Q16*D15*D30</f>
        <v>310.10875</v>
      </c>
      <c r="R17" s="164"/>
      <c r="S17" s="112"/>
      <c r="T17" s="117"/>
      <c r="U17" s="116"/>
      <c r="V17" s="122" t="s">
        <v>27</v>
      </c>
      <c r="W17" s="158">
        <f>Q25*Q23</f>
        <v>552.8796</v>
      </c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.75" spans="2:35">
      <c r="B18" s="128"/>
      <c r="C18" s="129" t="s">
        <v>39</v>
      </c>
      <c r="D18" s="130"/>
      <c r="E18" s="131"/>
      <c r="F18" s="112"/>
      <c r="G18" s="117"/>
      <c r="H18" s="122"/>
      <c r="I18" s="122"/>
      <c r="K18" s="153"/>
      <c r="L18" s="116"/>
      <c r="M18" s="112"/>
      <c r="N18" s="116"/>
      <c r="O18" s="116"/>
      <c r="P18" s="152" t="s">
        <v>29</v>
      </c>
      <c r="Q18" s="162">
        <f>IF(D20="Global",AD7,IF(D20="Americas",AD8,IF(D20="APAC",AD9,IF(D20="EMEA",AD10))))</f>
        <v>0.0059</v>
      </c>
      <c r="R18" s="164"/>
      <c r="S18" s="112"/>
      <c r="T18" s="117"/>
      <c r="U18" s="113"/>
      <c r="V18" s="113"/>
      <c r="W18" s="113"/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13"/>
      <c r="C19" s="114"/>
      <c r="D19" s="115"/>
      <c r="E19" s="116"/>
      <c r="F19" s="112"/>
      <c r="M19" s="112"/>
      <c r="N19" s="116"/>
      <c r="O19" s="122"/>
      <c r="P19" s="122" t="s">
        <v>32</v>
      </c>
      <c r="Q19" s="153">
        <f>Q18*Q17*D9*D27*D28</f>
        <v>4.9400323875</v>
      </c>
      <c r="R19" s="164"/>
      <c r="S19" s="112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24">
      <c r="B20" s="113"/>
      <c r="C20" s="118" t="s">
        <v>40</v>
      </c>
      <c r="D20" s="119" t="s">
        <v>314</v>
      </c>
      <c r="E20" s="116"/>
      <c r="F20" s="112"/>
      <c r="M20" s="112"/>
      <c r="N20" s="116"/>
      <c r="O20" s="113"/>
      <c r="P20" s="113"/>
      <c r="Q20" s="113"/>
      <c r="R20" s="149"/>
      <c r="S20" s="112"/>
      <c r="T20" s="165" t="s">
        <v>41</v>
      </c>
      <c r="W20" s="166"/>
      <c r="X20" s="166"/>
    </row>
    <row r="21" spans="2:24">
      <c r="B21" s="113"/>
      <c r="C21" s="118" t="s">
        <v>42</v>
      </c>
      <c r="D21" s="132">
        <v>4</v>
      </c>
      <c r="E21" s="116"/>
      <c r="F21" s="112"/>
      <c r="G21" s="112"/>
      <c r="I21" s="134"/>
      <c r="J21" s="134"/>
      <c r="K21" s="134"/>
      <c r="L21" s="112"/>
      <c r="M21" s="112"/>
      <c r="N21" s="116"/>
      <c r="O21" s="120" t="s">
        <v>36</v>
      </c>
      <c r="P21" s="145"/>
      <c r="Q21" s="150"/>
      <c r="R21" s="116"/>
      <c r="S21" s="112"/>
      <c r="T21" s="117"/>
      <c r="U21" s="117"/>
      <c r="V21" s="117"/>
      <c r="W21" s="144"/>
      <c r="X21" s="117"/>
    </row>
    <row r="22" spans="2:24">
      <c r="B22" s="113"/>
      <c r="C22" s="124"/>
      <c r="D22" s="133"/>
      <c r="E22" s="116"/>
      <c r="F22" s="112"/>
      <c r="G22" s="112"/>
      <c r="H22" s="134"/>
      <c r="I22" s="134"/>
      <c r="J22" s="134"/>
      <c r="K22" s="134"/>
      <c r="L22" s="112"/>
      <c r="M22" s="112"/>
      <c r="N22" s="116"/>
      <c r="O22" s="116"/>
      <c r="P22" s="122" t="s">
        <v>43</v>
      </c>
      <c r="Q22" s="153">
        <f>(30.5/D9)*D12*D13*D16</f>
        <v>177.205</v>
      </c>
      <c r="R22" s="150"/>
      <c r="S22" s="112"/>
      <c r="T22" s="117"/>
      <c r="U22" s="167" t="s">
        <v>44</v>
      </c>
      <c r="W22" s="150"/>
      <c r="X22" s="117"/>
    </row>
    <row r="23" spans="2:24">
      <c r="B23" s="113"/>
      <c r="C23" s="135" t="s">
        <v>45</v>
      </c>
      <c r="D23" s="136">
        <f>IF(D20="Global",AA7,IF(D20="Americas",AA8,IF(D20="APAC",AA9,IF(D20="EMEA",AA10))))</f>
        <v>4</v>
      </c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52" t="s">
        <v>46</v>
      </c>
      <c r="Q23" s="168">
        <f>D25</f>
        <v>40</v>
      </c>
      <c r="R23" s="150"/>
      <c r="S23" s="112"/>
      <c r="T23" s="117"/>
      <c r="U23" s="116"/>
      <c r="V23" s="126" t="s">
        <v>47</v>
      </c>
      <c r="W23" s="169">
        <v>0</v>
      </c>
      <c r="X23" s="117"/>
    </row>
    <row r="24" spans="2:24">
      <c r="B24" s="113"/>
      <c r="C24" s="135" t="s">
        <v>24</v>
      </c>
      <c r="D24" s="136">
        <f>IF(D20="Global",AC7,IF(D20="Americas",AC8,IF(D20="APAC",AC9,IF(D20="EMEA",AC10))))</f>
        <v>42753</v>
      </c>
      <c r="E24" s="116"/>
      <c r="F24" s="112"/>
      <c r="G24" s="112"/>
      <c r="H24" s="137"/>
      <c r="I24" s="137"/>
      <c r="J24" s="137"/>
      <c r="K24" s="154"/>
      <c r="L24" s="112"/>
      <c r="M24" s="112"/>
      <c r="N24" s="116"/>
      <c r="O24" s="116"/>
      <c r="P24" s="152" t="s">
        <v>29</v>
      </c>
      <c r="Q24" s="162">
        <f>IF(D20="Global",AF7,IF(D20="Americas",AF8,IF(D20="APAC",AF9,IF(D20="EMEA",AF10))))</f>
        <v>0.052</v>
      </c>
      <c r="R24" s="164"/>
      <c r="S24" s="112"/>
      <c r="T24" s="117"/>
      <c r="U24" s="116"/>
      <c r="V24" s="122" t="s">
        <v>48</v>
      </c>
      <c r="W24" s="158">
        <f>W23*D7</f>
        <v>0</v>
      </c>
      <c r="X24" s="117"/>
    </row>
    <row r="25" ht="15" spans="2:24">
      <c r="B25" s="113"/>
      <c r="C25" s="135" t="s">
        <v>49</v>
      </c>
      <c r="D25" s="138">
        <f>IF(D20="Global",AE7,IF(D20="Americas",AE8,IF(D20="APAC",AE9,IF(D20="EMEA",AE10))))</f>
        <v>40</v>
      </c>
      <c r="E25" s="116"/>
      <c r="F25" s="112"/>
      <c r="G25" s="112"/>
      <c r="H25" s="137"/>
      <c r="I25" s="137"/>
      <c r="J25" s="137"/>
      <c r="K25" s="155"/>
      <c r="L25" s="112"/>
      <c r="M25" s="112"/>
      <c r="N25" s="116"/>
      <c r="O25" s="116"/>
      <c r="P25" s="122" t="s">
        <v>36</v>
      </c>
      <c r="Q25" s="153">
        <f>Q24*Q22*D27*D28*D31</f>
        <v>13.82199</v>
      </c>
      <c r="R25" s="150"/>
      <c r="S25" s="112"/>
      <c r="T25" s="113"/>
      <c r="U25" s="116"/>
      <c r="V25" s="159"/>
      <c r="W25" s="160"/>
      <c r="X25" s="113"/>
    </row>
    <row r="26" ht="15" spans="2:24">
      <c r="B26" s="113"/>
      <c r="C26" s="9"/>
      <c r="D26" s="9"/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/>
      <c r="Q26" s="153"/>
      <c r="R26" s="150"/>
      <c r="S26" s="112"/>
      <c r="T26" s="117"/>
      <c r="U26" s="167" t="s">
        <v>50</v>
      </c>
      <c r="W26" s="150"/>
      <c r="X26" s="117"/>
    </row>
    <row r="27" spans="2:24">
      <c r="B27" s="113"/>
      <c r="C27" s="139" t="s">
        <v>40</v>
      </c>
      <c r="D27" s="140">
        <f>IF(D20="Global",1,IF(D20="Americas",1.5,IF(D20="APAC",0.6,IF(D20="EMEA",0.8))))</f>
        <v>1.5</v>
      </c>
      <c r="E27" s="116"/>
      <c r="F27" s="112"/>
      <c r="G27" s="112"/>
      <c r="H27" s="137"/>
      <c r="K27" s="155"/>
      <c r="L27" s="112"/>
      <c r="M27" s="112"/>
      <c r="N27" s="112"/>
      <c r="O27" s="156"/>
      <c r="Q27" s="170"/>
      <c r="R27" s="170"/>
      <c r="S27" s="112"/>
      <c r="T27" s="116"/>
      <c r="U27" s="116"/>
      <c r="V27" s="126" t="s">
        <v>51</v>
      </c>
      <c r="W27" s="169">
        <v>350</v>
      </c>
      <c r="X27" s="116"/>
    </row>
    <row r="28" ht="15" spans="2:24">
      <c r="B28" s="116"/>
      <c r="C28" s="139" t="s">
        <v>52</v>
      </c>
      <c r="D28" s="141">
        <f>IF(D21=5,1.34,IF(D21=4.5,1.17,IF(D21=4,1,IF(D21=3.5,0.83,IF(D21=3,0.62)))))</f>
        <v>1</v>
      </c>
      <c r="E28" s="116"/>
      <c r="F28" s="112"/>
      <c r="G28" s="112"/>
      <c r="H28" s="137"/>
      <c r="I28" s="137"/>
      <c r="K28" s="155"/>
      <c r="L28" s="112"/>
      <c r="M28" s="112"/>
      <c r="N28" s="112"/>
      <c r="O28" s="112"/>
      <c r="P28" s="137"/>
      <c r="Q28" s="155"/>
      <c r="R28" s="155"/>
      <c r="S28" s="112"/>
      <c r="T28" s="113"/>
      <c r="U28" s="116"/>
      <c r="V28" s="122" t="s">
        <v>53</v>
      </c>
      <c r="W28" s="158">
        <f>W27*D7</f>
        <v>2450</v>
      </c>
      <c r="X28" s="113"/>
    </row>
    <row r="29" ht="14.25" spans="2:24">
      <c r="B29" s="9"/>
      <c r="C29" s="142" t="s">
        <v>54</v>
      </c>
      <c r="D29" s="141">
        <f>IF(K11=1,1,IF(K11=2,2,IF(K11=3,2.3,IF(K11=4,2.7))))</f>
        <v>2</v>
      </c>
      <c r="E29" s="9"/>
      <c r="F29" s="112"/>
      <c r="G29" s="112"/>
      <c r="H29" s="137"/>
      <c r="I29" s="137"/>
      <c r="J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59"/>
      <c r="W29" s="160"/>
      <c r="X29" s="113"/>
    </row>
    <row r="30" ht="14.25" spans="2:19">
      <c r="B30" s="9"/>
      <c r="C30" s="142" t="s">
        <v>55</v>
      </c>
      <c r="D30" s="140">
        <f>IF(K14=1,1,IF(K14=2,1.3,IF(K14=3,1.5,1)))</f>
        <v>1.5</v>
      </c>
      <c r="E30" s="9"/>
      <c r="F30" s="112"/>
      <c r="G30" s="112"/>
      <c r="M30" s="112"/>
      <c r="N30" s="112"/>
      <c r="O30" s="112"/>
      <c r="P30" s="137"/>
      <c r="Q30" s="155"/>
      <c r="R30" s="155"/>
      <c r="S30" s="112"/>
    </row>
    <row r="31" ht="14.25" spans="2:24">
      <c r="B31" s="9"/>
      <c r="C31" s="142" t="s">
        <v>36</v>
      </c>
      <c r="D31" s="140">
        <f>IF(K17="Yes",1,IF(K17="No",0))</f>
        <v>1</v>
      </c>
      <c r="E31" s="9"/>
      <c r="F31" s="112"/>
      <c r="G31" s="112"/>
      <c r="M31" s="112"/>
      <c r="N31" s="112"/>
      <c r="O31" s="112"/>
      <c r="P31" s="112"/>
      <c r="Q31" s="112"/>
      <c r="R31" s="112"/>
      <c r="S31" s="134"/>
      <c r="T31" s="171"/>
      <c r="U31" s="171"/>
      <c r="V31" s="171"/>
      <c r="W31" s="171"/>
      <c r="X31" s="171"/>
    </row>
    <row r="32" ht="14.25" spans="2:24">
      <c r="B32" s="9"/>
      <c r="C32" s="122"/>
      <c r="D32" s="133"/>
      <c r="E32" s="9"/>
      <c r="H32" s="35"/>
      <c r="I32" s="35"/>
      <c r="J32" s="35"/>
      <c r="K32" s="61"/>
      <c r="T32" s="171"/>
      <c r="U32" s="172" t="s">
        <v>6</v>
      </c>
      <c r="V32" s="173"/>
      <c r="W32" s="171"/>
      <c r="X32" s="171"/>
    </row>
    <row r="33" ht="14.25" spans="8:24">
      <c r="H33" s="35"/>
      <c r="I33" s="35"/>
      <c r="J33" s="35"/>
      <c r="K33" s="61"/>
      <c r="T33" s="171"/>
      <c r="U33" s="173"/>
      <c r="V33" s="174" t="s">
        <v>56</v>
      </c>
      <c r="W33" s="175">
        <f>SUM(W14,W11,W8,W17)</f>
        <v>45875.36455125</v>
      </c>
      <c r="X33" s="171"/>
    </row>
    <row r="34" ht="12.75" spans="4:24">
      <c r="D34" s="143"/>
      <c r="H34" s="35"/>
      <c r="I34" s="35"/>
      <c r="J34" s="35"/>
      <c r="K34" s="61"/>
      <c r="T34" s="171"/>
      <c r="U34" s="171"/>
      <c r="V34" s="171" t="s">
        <v>57</v>
      </c>
      <c r="W34" s="176">
        <f>W33*12</f>
        <v>550504.374615</v>
      </c>
      <c r="X34" s="171"/>
    </row>
    <row r="35" ht="12.75" spans="8:24">
      <c r="H35" s="35"/>
      <c r="I35" s="35"/>
      <c r="J35" s="35"/>
      <c r="K35" s="61"/>
      <c r="T35" s="171"/>
      <c r="U35" s="171"/>
      <c r="V35" s="171"/>
      <c r="W35" s="171"/>
      <c r="X35" s="171"/>
    </row>
    <row r="36" ht="12.75" spans="20:24">
      <c r="T36" s="177"/>
      <c r="U36" s="178" t="s">
        <v>58</v>
      </c>
      <c r="W36" s="179">
        <f>W34-(W28*12)-W24</f>
        <v>521104.374615</v>
      </c>
      <c r="X36" s="177"/>
    </row>
    <row r="37" ht="12.75" spans="20:24">
      <c r="T37" s="177"/>
      <c r="X37" s="177"/>
    </row>
  </sheetData>
  <mergeCells count="31">
    <mergeCell ref="G5:I5"/>
    <mergeCell ref="N5:P5"/>
    <mergeCell ref="T5:V5"/>
    <mergeCell ref="Z5:AB5"/>
    <mergeCell ref="H7:I7"/>
    <mergeCell ref="O7:P7"/>
    <mergeCell ref="U7:V7"/>
    <mergeCell ref="I8:J8"/>
    <mergeCell ref="I9:J9"/>
    <mergeCell ref="H10:J10"/>
    <mergeCell ref="O10:P10"/>
    <mergeCell ref="U10:V10"/>
    <mergeCell ref="I11:J11"/>
    <mergeCell ref="H13:J13"/>
    <mergeCell ref="U13:V13"/>
    <mergeCell ref="I14:J14"/>
    <mergeCell ref="I15:J15"/>
    <mergeCell ref="O15:P15"/>
    <mergeCell ref="H16:J16"/>
    <mergeCell ref="U16:V16"/>
    <mergeCell ref="I17:J17"/>
    <mergeCell ref="I18:J18"/>
    <mergeCell ref="T20:V20"/>
    <mergeCell ref="O21:P21"/>
    <mergeCell ref="U22:V22"/>
    <mergeCell ref="U26:V26"/>
    <mergeCell ref="H27:J27"/>
    <mergeCell ref="O27:P27"/>
    <mergeCell ref="I28:J28"/>
    <mergeCell ref="W36:W37"/>
    <mergeCell ref="U36:V37"/>
  </mergeCells>
  <dataValidations count="5">
    <dataValidation type="list" allowBlank="1" sqref="D21">
      <formula1>"5,4.5,4,3.5,3,N/A"</formula1>
    </dataValidation>
    <dataValidation type="list" allowBlank="1" sqref="K11">
      <formula1>"1,2,3,4"</formula1>
    </dataValidation>
    <dataValidation type="list" allowBlank="1" sqref="K14">
      <formula1>"1,2,3"</formula1>
    </dataValidation>
    <dataValidation type="list" allowBlank="1" sqref="K17">
      <formula1>"Yes,No"</formula1>
    </dataValidation>
    <dataValidation type="list" allowBlank="1" sqref="D20">
      <formula1>"Global,Americas,APAC,EMEA"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0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150</v>
      </c>
      <c r="E9" s="116"/>
      <c r="F9" s="112"/>
      <c r="G9" s="117"/>
      <c r="H9" s="122"/>
      <c r="I9" s="122" t="s">
        <v>16</v>
      </c>
      <c r="K9" s="148">
        <f>D16</f>
        <v>0.4</v>
      </c>
      <c r="L9" s="117"/>
      <c r="M9" s="112"/>
      <c r="N9" s="116"/>
      <c r="O9" s="116"/>
      <c r="P9" s="122" t="s">
        <v>17</v>
      </c>
      <c r="Q9" s="153">
        <f>Q17*K9</f>
        <v>775.92</v>
      </c>
      <c r="R9" s="153"/>
      <c r="S9" s="112"/>
      <c r="T9" s="117"/>
      <c r="U9" s="116"/>
      <c r="V9" s="122" t="s">
        <v>18</v>
      </c>
      <c r="W9" s="158">
        <f>Q9*Q13*D10*D9</f>
        <v>302.6088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16000</v>
      </c>
      <c r="E12" s="116"/>
      <c r="F12" s="112"/>
      <c r="G12" s="116"/>
      <c r="H12" s="126"/>
      <c r="I12" s="126" t="s">
        <v>25</v>
      </c>
      <c r="K12" s="151">
        <v>3</v>
      </c>
      <c r="L12" s="117"/>
      <c r="M12" s="112"/>
      <c r="N12" s="116"/>
      <c r="O12" s="116"/>
      <c r="P12" s="152" t="s">
        <v>26</v>
      </c>
      <c r="Q12" s="161">
        <f>D30*D12</f>
        <v>36800</v>
      </c>
      <c r="R12" s="150"/>
      <c r="S12" s="112"/>
      <c r="T12" s="117"/>
      <c r="U12" s="116"/>
      <c r="V12" s="122" t="s">
        <v>27</v>
      </c>
      <c r="W12" s="158">
        <f>Q14*D9</f>
        <v>10075.104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159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0.8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67.16736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1568.7240192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0.4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0.15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1939.8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1163.88</v>
      </c>
      <c r="R18" s="164"/>
      <c r="S18" s="112"/>
      <c r="T18" s="117"/>
      <c r="U18" s="116"/>
      <c r="V18" s="122" t="s">
        <v>27</v>
      </c>
      <c r="W18" s="158">
        <f>Q26*Q24</f>
        <v>148.0891815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10.458160128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4.5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290.97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25</v>
      </c>
      <c r="R24" s="150"/>
      <c r="S24" s="112"/>
      <c r="T24" s="117"/>
      <c r="U24" s="116"/>
      <c r="V24" s="126" t="s">
        <v>47</v>
      </c>
      <c r="W24" s="169">
        <v>2500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2500</v>
      </c>
      <c r="X25" s="117"/>
    </row>
    <row r="26" ht="15" spans="2:24">
      <c r="B26" s="113"/>
      <c r="C26" s="135" t="s">
        <v>49</v>
      </c>
      <c r="D26" s="138">
        <v>25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5.92356726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699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1.17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699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2.3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12094.5260007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145134.3120084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134246.3120084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G32"/>
  <sheetViews>
    <sheetView workbookViewId="0">
      <selection activeCell="A1" sqref="A1"/>
    </sheetView>
  </sheetViews>
  <sheetFormatPr defaultColWidth="14.4285714285714" defaultRowHeight="15.75" customHeight="1" outlineLevelCol="6"/>
  <cols>
    <col min="1" max="1" width="6.14285714285714" customWidth="1"/>
    <col min="2" max="2" width="37.8571428571429" customWidth="1"/>
    <col min="3" max="3" width="30.4285714285714" customWidth="1"/>
    <col min="4" max="4" width="19" customWidth="1"/>
    <col min="5" max="5" width="16.8571428571429" customWidth="1"/>
    <col min="6" max="6" width="27" customWidth="1"/>
  </cols>
  <sheetData>
    <row r="2" customHeight="1" spans="2:7">
      <c r="B2" s="93" t="s">
        <v>315</v>
      </c>
      <c r="C2" s="94"/>
      <c r="D2" s="94"/>
      <c r="E2" s="94"/>
      <c r="F2" s="94"/>
      <c r="G2" s="95"/>
    </row>
    <row r="3" ht="15" spans="2:7">
      <c r="B3" s="94"/>
      <c r="C3" s="94"/>
      <c r="D3" s="94"/>
      <c r="E3" s="94"/>
      <c r="F3" s="94"/>
      <c r="G3" s="95"/>
    </row>
    <row r="4" ht="15" spans="2:7">
      <c r="B4" s="96" t="s">
        <v>316</v>
      </c>
      <c r="C4" s="97" t="s">
        <v>317</v>
      </c>
      <c r="D4" s="97" t="s">
        <v>318</v>
      </c>
      <c r="E4" s="97" t="s">
        <v>319</v>
      </c>
      <c r="F4" s="97" t="s">
        <v>320</v>
      </c>
      <c r="G4" s="98"/>
    </row>
    <row r="5" ht="15" spans="2:7">
      <c r="B5" s="99" t="s">
        <v>14</v>
      </c>
      <c r="C5" s="100">
        <v>3</v>
      </c>
      <c r="D5" s="101">
        <v>0.1</v>
      </c>
      <c r="E5" s="102">
        <v>0.013</v>
      </c>
      <c r="F5" s="103">
        <v>0.0009</v>
      </c>
      <c r="G5" s="98"/>
    </row>
    <row r="6" ht="15" spans="2:7">
      <c r="B6" s="99" t="s">
        <v>19</v>
      </c>
      <c r="C6" s="100">
        <v>4</v>
      </c>
      <c r="D6" s="102">
        <v>0.098</v>
      </c>
      <c r="E6" s="102">
        <v>0.0126</v>
      </c>
      <c r="F6" s="103">
        <v>0.0009</v>
      </c>
      <c r="G6" s="95"/>
    </row>
    <row r="7" ht="15" spans="2:7">
      <c r="B7" s="99" t="s">
        <v>21</v>
      </c>
      <c r="C7" s="100">
        <v>2</v>
      </c>
      <c r="D7" s="102">
        <v>0.145</v>
      </c>
      <c r="E7" s="102">
        <v>0.0199</v>
      </c>
      <c r="F7" s="103">
        <v>0.0013</v>
      </c>
      <c r="G7" s="95"/>
    </row>
    <row r="8" ht="15" spans="2:7">
      <c r="B8" s="99" t="s">
        <v>23</v>
      </c>
      <c r="C8" s="100">
        <v>2</v>
      </c>
      <c r="D8" s="102">
        <v>0.139</v>
      </c>
      <c r="E8" s="102">
        <v>0.014</v>
      </c>
      <c r="F8" s="103">
        <v>0.0006</v>
      </c>
      <c r="G8" s="95"/>
    </row>
    <row r="9" ht="15" spans="2:7">
      <c r="B9" s="94"/>
      <c r="C9" s="94"/>
      <c r="D9" s="94"/>
      <c r="E9" s="94"/>
      <c r="F9" s="94"/>
      <c r="G9" s="95"/>
    </row>
    <row r="10" ht="15" spans="2:7">
      <c r="B10" s="96" t="s">
        <v>321</v>
      </c>
      <c r="C10" s="97" t="s">
        <v>317</v>
      </c>
      <c r="D10" s="97" t="s">
        <v>318</v>
      </c>
      <c r="E10" s="97" t="s">
        <v>319</v>
      </c>
      <c r="F10" s="97" t="s">
        <v>320</v>
      </c>
      <c r="G10" s="95"/>
    </row>
    <row r="11" ht="15" spans="2:7">
      <c r="B11" s="99" t="s">
        <v>322</v>
      </c>
      <c r="C11" s="100">
        <v>2</v>
      </c>
      <c r="D11" s="102">
        <v>0.284</v>
      </c>
      <c r="E11" s="102">
        <v>0.056</v>
      </c>
      <c r="F11" s="103">
        <v>0.004</v>
      </c>
      <c r="G11" s="95"/>
    </row>
    <row r="12" ht="15" spans="2:7">
      <c r="B12" s="99" t="s">
        <v>323</v>
      </c>
      <c r="C12" s="100">
        <v>3</v>
      </c>
      <c r="D12" s="102">
        <v>0.164</v>
      </c>
      <c r="E12" s="102">
        <v>0.0219</v>
      </c>
      <c r="F12" s="103">
        <v>0.0015</v>
      </c>
      <c r="G12" s="95"/>
    </row>
    <row r="13" ht="15" spans="2:7">
      <c r="B13" s="99" t="s">
        <v>324</v>
      </c>
      <c r="C13" s="100">
        <v>2</v>
      </c>
      <c r="D13" s="102">
        <v>0.211</v>
      </c>
      <c r="E13" s="102">
        <v>0.0343</v>
      </c>
      <c r="F13" s="103">
        <v>0.0024</v>
      </c>
      <c r="G13" s="95"/>
    </row>
    <row r="14" ht="15" spans="2:7">
      <c r="B14" s="99" t="s">
        <v>325</v>
      </c>
      <c r="C14" s="100">
        <v>2</v>
      </c>
      <c r="D14" s="102">
        <v>0.206</v>
      </c>
      <c r="E14" s="102">
        <v>0.0271</v>
      </c>
      <c r="F14" s="103">
        <v>0.002</v>
      </c>
      <c r="G14" s="95"/>
    </row>
    <row r="15" ht="15" spans="2:7">
      <c r="B15" s="99" t="s">
        <v>326</v>
      </c>
      <c r="C15" s="100">
        <v>3</v>
      </c>
      <c r="D15" s="102">
        <v>0.173</v>
      </c>
      <c r="E15" s="102">
        <v>0.024</v>
      </c>
      <c r="F15" s="103">
        <v>0.0032</v>
      </c>
      <c r="G15" s="95"/>
    </row>
    <row r="16" ht="15" spans="2:7">
      <c r="B16" s="104" t="s">
        <v>327</v>
      </c>
      <c r="C16" s="100">
        <v>5</v>
      </c>
      <c r="D16" s="102">
        <v>0.194</v>
      </c>
      <c r="E16" s="102">
        <v>0.0191</v>
      </c>
      <c r="F16" s="103">
        <v>0.0021</v>
      </c>
      <c r="G16" s="95"/>
    </row>
    <row r="18" customHeight="1" spans="2:5">
      <c r="B18" s="105" t="s">
        <v>328</v>
      </c>
      <c r="C18" s="94"/>
      <c r="D18" s="94"/>
      <c r="E18" s="94"/>
    </row>
    <row r="19" customHeight="1" spans="2:5">
      <c r="B19" s="94"/>
      <c r="C19" s="94"/>
      <c r="D19" s="94"/>
      <c r="E19" s="94"/>
    </row>
    <row r="20" customHeight="1" spans="2:5">
      <c r="B20" s="106" t="s">
        <v>316</v>
      </c>
      <c r="C20" s="97" t="s">
        <v>329</v>
      </c>
      <c r="D20" s="97" t="s">
        <v>330</v>
      </c>
      <c r="E20" s="97" t="s">
        <v>331</v>
      </c>
    </row>
    <row r="21" ht="13.5" spans="2:5">
      <c r="B21" s="99" t="s">
        <v>14</v>
      </c>
      <c r="C21" s="107">
        <v>33137</v>
      </c>
      <c r="D21" s="108">
        <v>144</v>
      </c>
      <c r="E21" s="108">
        <v>230</v>
      </c>
    </row>
    <row r="22" ht="13.5" spans="2:5">
      <c r="B22" s="99" t="s">
        <v>19</v>
      </c>
      <c r="C22" s="107">
        <v>42753</v>
      </c>
      <c r="D22" s="108">
        <v>155</v>
      </c>
      <c r="E22" s="108">
        <v>276</v>
      </c>
    </row>
    <row r="23" ht="13.5" spans="2:5">
      <c r="B23" s="99" t="s">
        <v>21</v>
      </c>
      <c r="C23" s="107">
        <v>29052</v>
      </c>
      <c r="D23" s="108">
        <v>122</v>
      </c>
      <c r="E23" s="108">
        <v>238</v>
      </c>
    </row>
    <row r="24" ht="13.5" spans="2:5">
      <c r="B24" s="99" t="s">
        <v>23</v>
      </c>
      <c r="C24" s="107">
        <v>27391</v>
      </c>
      <c r="D24" s="108">
        <v>177</v>
      </c>
      <c r="E24" s="108">
        <v>155</v>
      </c>
    </row>
    <row r="25" ht="12.75" spans="2:5">
      <c r="B25" s="94"/>
      <c r="C25" s="94"/>
      <c r="D25" s="94"/>
      <c r="E25" s="94"/>
    </row>
    <row r="26" ht="13.5" spans="2:5">
      <c r="B26" s="106" t="s">
        <v>321</v>
      </c>
      <c r="C26" s="97" t="s">
        <v>329</v>
      </c>
      <c r="D26" s="97" t="s">
        <v>330</v>
      </c>
      <c r="E26" s="97"/>
    </row>
    <row r="27" ht="13.5" spans="2:5">
      <c r="B27" s="99" t="s">
        <v>322</v>
      </c>
      <c r="C27" s="107">
        <v>13814</v>
      </c>
      <c r="D27" s="108">
        <v>82</v>
      </c>
      <c r="E27" s="108">
        <v>168</v>
      </c>
    </row>
    <row r="28" ht="13.5" spans="2:5">
      <c r="B28" s="99" t="s">
        <v>323</v>
      </c>
      <c r="C28" s="107">
        <v>46831</v>
      </c>
      <c r="D28" s="108">
        <v>120</v>
      </c>
      <c r="E28" s="108">
        <v>390</v>
      </c>
    </row>
    <row r="29" ht="13.5" spans="2:5">
      <c r="B29" s="99" t="s">
        <v>324</v>
      </c>
      <c r="C29" s="107">
        <v>16393</v>
      </c>
      <c r="D29" s="108">
        <v>117</v>
      </c>
      <c r="E29" s="108">
        <v>140</v>
      </c>
    </row>
    <row r="30" ht="13.5" spans="2:5">
      <c r="B30" s="99" t="s">
        <v>325</v>
      </c>
      <c r="C30" s="107">
        <v>14154</v>
      </c>
      <c r="D30" s="108">
        <v>107</v>
      </c>
      <c r="E30" s="108">
        <v>132</v>
      </c>
    </row>
    <row r="31" ht="13.5" spans="2:5">
      <c r="B31" s="99" t="s">
        <v>326</v>
      </c>
      <c r="C31" s="107">
        <v>23605</v>
      </c>
      <c r="D31" s="108">
        <v>123</v>
      </c>
      <c r="E31" s="108">
        <v>192</v>
      </c>
    </row>
    <row r="32" ht="12.75" spans="2:5">
      <c r="B32" s="104" t="s">
        <v>327</v>
      </c>
      <c r="C32" s="107">
        <v>48976</v>
      </c>
      <c r="D32" s="108">
        <v>165</v>
      </c>
      <c r="E32" s="108">
        <v>297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AK34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2.5714285714286" customWidth="1"/>
    <col min="5" max="6" width="3.14285714285714" customWidth="1"/>
    <col min="7" max="7" width="3.42857142857143" customWidth="1"/>
    <col min="8" max="8" width="3" customWidth="1"/>
    <col min="9" max="9" width="21.8571428571429" customWidth="1"/>
    <col min="10" max="10" width="5.14285714285714" customWidth="1"/>
    <col min="11" max="11" width="9.28571428571429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6.57142857142857" customWidth="1"/>
    <col min="27" max="27" width="10.1428571428571" customWidth="1"/>
    <col min="28" max="28" width="10.8571428571429" customWidth="1"/>
    <col min="29" max="29" width="9.85714285714286" customWidth="1"/>
    <col min="30" max="30" width="12.2857142857143" customWidth="1"/>
    <col min="31" max="31" width="2.42857142857143" customWidth="1"/>
    <col min="32" max="32" width="8" customWidth="1"/>
    <col min="33" max="33" width="9.57142857142857" customWidth="1"/>
    <col min="34" max="34" width="10.4285714285714" customWidth="1"/>
  </cols>
  <sheetData>
    <row r="1" ht="12" customHeight="1"/>
    <row r="2" ht="30" customHeight="1" spans="3:24">
      <c r="C2" s="1" t="s">
        <v>332</v>
      </c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9" customHeight="1" spans="3:24">
      <c r="C3" s="3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20.25" spans="2:33">
      <c r="B4" s="4"/>
      <c r="C4" s="5" t="s">
        <v>333</v>
      </c>
      <c r="D4" s="6"/>
      <c r="E4" s="7"/>
      <c r="F4" s="3"/>
      <c r="G4" s="8" t="s">
        <v>4</v>
      </c>
      <c r="J4" s="46"/>
      <c r="K4" s="47"/>
      <c r="L4" s="8"/>
      <c r="M4" s="48"/>
      <c r="N4" s="49" t="s">
        <v>5</v>
      </c>
      <c r="Q4" s="64"/>
      <c r="R4" s="64"/>
      <c r="S4" s="3"/>
      <c r="T4" s="65" t="s">
        <v>6</v>
      </c>
      <c r="W4" s="66"/>
      <c r="X4" s="66"/>
      <c r="Z4" s="85" t="s">
        <v>334</v>
      </c>
      <c r="AC4" s="86"/>
      <c r="AD4" s="86"/>
      <c r="AE4" s="87"/>
      <c r="AF4" s="87"/>
      <c r="AG4" s="87"/>
    </row>
    <row r="5" ht="21" spans="2:24">
      <c r="B5" s="9"/>
      <c r="C5" s="10"/>
      <c r="D5" s="11"/>
      <c r="E5" s="12"/>
      <c r="F5" s="3"/>
      <c r="G5" s="13"/>
      <c r="H5" s="13"/>
      <c r="I5" s="13"/>
      <c r="J5" s="13"/>
      <c r="K5" s="50"/>
      <c r="L5" s="13"/>
      <c r="M5" s="3"/>
      <c r="N5" s="13"/>
      <c r="O5" s="13"/>
      <c r="P5" s="13"/>
      <c r="Q5" s="50"/>
      <c r="R5" s="50"/>
      <c r="S5" s="3"/>
      <c r="T5" s="13"/>
      <c r="U5" s="13"/>
      <c r="V5" s="13"/>
      <c r="W5" s="50"/>
      <c r="X5" s="13"/>
    </row>
    <row r="6" spans="2:37">
      <c r="B6" s="9"/>
      <c r="C6" s="14" t="s">
        <v>12</v>
      </c>
      <c r="D6" s="15">
        <v>30</v>
      </c>
      <c r="E6" s="12"/>
      <c r="F6" s="3"/>
      <c r="G6" s="13"/>
      <c r="H6" s="16" t="s">
        <v>13</v>
      </c>
      <c r="J6" s="51"/>
      <c r="K6" s="52"/>
      <c r="L6" s="13"/>
      <c r="M6" s="3"/>
      <c r="N6" s="13"/>
      <c r="O6" s="53" t="s">
        <v>13</v>
      </c>
      <c r="Q6" s="67"/>
      <c r="R6" s="59"/>
      <c r="S6" s="3"/>
      <c r="T6" s="13"/>
      <c r="U6" s="68" t="s">
        <v>13</v>
      </c>
      <c r="W6" s="69"/>
      <c r="X6" s="13"/>
      <c r="Z6" s="88" t="s">
        <v>335</v>
      </c>
      <c r="AA6" s="88" t="s">
        <v>336</v>
      </c>
      <c r="AB6" s="88" t="s">
        <v>337</v>
      </c>
      <c r="AC6" s="88" t="s">
        <v>338</v>
      </c>
      <c r="AD6" s="89" t="s">
        <v>339</v>
      </c>
      <c r="AF6" s="88" t="s">
        <v>340</v>
      </c>
      <c r="AG6" s="89" t="s">
        <v>341</v>
      </c>
      <c r="AH6" s="89" t="s">
        <v>342</v>
      </c>
      <c r="AI6" s="89" t="s">
        <v>343</v>
      </c>
      <c r="AJ6" s="92"/>
      <c r="AK6" s="92"/>
    </row>
    <row r="7" ht="15" spans="2:35">
      <c r="B7" s="9"/>
      <c r="C7" s="14" t="s">
        <v>15</v>
      </c>
      <c r="D7" s="17">
        <v>83</v>
      </c>
      <c r="E7" s="12"/>
      <c r="F7" s="3"/>
      <c r="G7" s="13"/>
      <c r="H7" s="18"/>
      <c r="I7" s="18" t="s">
        <v>16</v>
      </c>
      <c r="K7" s="54">
        <f>D23</f>
        <v>0.75</v>
      </c>
      <c r="L7" s="13"/>
      <c r="M7" s="3"/>
      <c r="N7" s="13"/>
      <c r="O7" s="55"/>
      <c r="P7" s="56" t="s">
        <v>17</v>
      </c>
      <c r="Q7" s="70">
        <f>Q18*K7</f>
        <v>17054.5833333333</v>
      </c>
      <c r="R7" s="60"/>
      <c r="S7" s="3"/>
      <c r="T7" s="13"/>
      <c r="U7" s="71"/>
      <c r="V7" s="72" t="s">
        <v>18</v>
      </c>
      <c r="W7" s="73">
        <f>Q7*Q11*D8*D7</f>
        <v>2293.159275</v>
      </c>
      <c r="X7" s="13"/>
      <c r="Z7" s="88">
        <v>1</v>
      </c>
      <c r="AA7" s="90">
        <f t="shared" ref="AA7:AA18" si="0">$W$10</f>
        <v>26892</v>
      </c>
      <c r="AB7" s="90">
        <f t="shared" ref="AB7:AB18" si="1">$W$13</f>
        <v>40087.8214</v>
      </c>
      <c r="AC7" s="90">
        <f>W7</f>
        <v>2293.159275</v>
      </c>
      <c r="AD7" s="91">
        <f t="shared" ref="AD7:AD18" si="2">SUM(AA7:AC7)</f>
        <v>69272.980675</v>
      </c>
      <c r="AF7" s="90">
        <f t="shared" ref="AF7:AF18" si="3">$W$29</f>
        <v>12000</v>
      </c>
      <c r="AG7" s="91">
        <f>W25</f>
        <v>60000</v>
      </c>
      <c r="AH7" s="91">
        <f t="shared" ref="AH7:AH18" si="4">SUM(AF7:AG7)</f>
        <v>72000</v>
      </c>
      <c r="AI7" s="91">
        <f t="shared" ref="AI7:AI18" si="5">AD7-AH7</f>
        <v>-2727.019325</v>
      </c>
    </row>
    <row r="8" ht="15" spans="2:35">
      <c r="B8" s="9"/>
      <c r="C8" s="19" t="s">
        <v>20</v>
      </c>
      <c r="D8" s="20">
        <v>1.8</v>
      </c>
      <c r="E8" s="12"/>
      <c r="F8" s="3"/>
      <c r="G8" s="13"/>
      <c r="H8" s="21"/>
      <c r="I8" s="21"/>
      <c r="K8" s="57"/>
      <c r="L8" s="13"/>
      <c r="M8" s="3"/>
      <c r="N8" s="13"/>
      <c r="O8" s="12"/>
      <c r="P8" s="21"/>
      <c r="Q8" s="12"/>
      <c r="R8" s="60"/>
      <c r="S8" s="3"/>
      <c r="T8" s="13"/>
      <c r="U8" s="12"/>
      <c r="V8" s="74"/>
      <c r="W8" s="75"/>
      <c r="X8" s="13"/>
      <c r="Z8" s="88">
        <v>2</v>
      </c>
      <c r="AA8" s="90">
        <f t="shared" si="0"/>
        <v>26892</v>
      </c>
      <c r="AB8" s="90">
        <f t="shared" si="1"/>
        <v>40087.8214</v>
      </c>
      <c r="AC8" s="90">
        <f t="shared" ref="AC8:AC18" si="6">AC7+$W$7</f>
        <v>4586.31855</v>
      </c>
      <c r="AD8" s="91">
        <f t="shared" si="2"/>
        <v>71566.13995</v>
      </c>
      <c r="AF8" s="90">
        <f t="shared" si="3"/>
        <v>12000</v>
      </c>
      <c r="AG8" s="91">
        <v>0</v>
      </c>
      <c r="AH8" s="91">
        <f t="shared" si="4"/>
        <v>12000</v>
      </c>
      <c r="AI8" s="91">
        <f t="shared" si="5"/>
        <v>59566.13995</v>
      </c>
    </row>
    <row r="9" spans="2:35">
      <c r="B9" s="9"/>
      <c r="C9" s="21"/>
      <c r="D9" s="22"/>
      <c r="E9" s="12"/>
      <c r="F9" s="3"/>
      <c r="G9" s="13"/>
      <c r="H9" s="16" t="s">
        <v>22</v>
      </c>
      <c r="K9" s="52"/>
      <c r="L9" s="13"/>
      <c r="M9" s="3"/>
      <c r="N9" s="13"/>
      <c r="O9" s="53" t="s">
        <v>22</v>
      </c>
      <c r="Q9" s="67"/>
      <c r="R9" s="57"/>
      <c r="S9" s="3"/>
      <c r="T9" s="13"/>
      <c r="U9" s="68" t="s">
        <v>22</v>
      </c>
      <c r="W9" s="69"/>
      <c r="X9" s="13"/>
      <c r="Z9" s="88">
        <v>3</v>
      </c>
      <c r="AA9" s="90">
        <f t="shared" si="0"/>
        <v>26892</v>
      </c>
      <c r="AB9" s="90">
        <f t="shared" si="1"/>
        <v>40087.8214</v>
      </c>
      <c r="AC9" s="90">
        <f t="shared" si="6"/>
        <v>6879.477825</v>
      </c>
      <c r="AD9" s="91">
        <f t="shared" si="2"/>
        <v>73859.299225</v>
      </c>
      <c r="AF9" s="90">
        <f t="shared" si="3"/>
        <v>12000</v>
      </c>
      <c r="AG9" s="91">
        <v>0</v>
      </c>
      <c r="AH9" s="91">
        <f t="shared" si="4"/>
        <v>12000</v>
      </c>
      <c r="AI9" s="91">
        <f t="shared" si="5"/>
        <v>61859.299225</v>
      </c>
    </row>
    <row r="10" ht="15" spans="2:35">
      <c r="B10" s="9"/>
      <c r="C10" s="23" t="s">
        <v>24</v>
      </c>
      <c r="D10" s="24">
        <v>50000</v>
      </c>
      <c r="E10" s="12"/>
      <c r="F10" s="3"/>
      <c r="G10" s="13"/>
      <c r="H10" s="18"/>
      <c r="I10" s="18" t="s">
        <v>25</v>
      </c>
      <c r="K10" s="58">
        <v>4</v>
      </c>
      <c r="L10" s="13"/>
      <c r="M10" s="3"/>
      <c r="N10" s="13"/>
      <c r="O10" s="55"/>
      <c r="P10" s="56" t="s">
        <v>26</v>
      </c>
      <c r="Q10" s="70">
        <f>K10*D10*D22</f>
        <v>200000</v>
      </c>
      <c r="R10" s="59"/>
      <c r="S10" s="3"/>
      <c r="T10" s="13"/>
      <c r="U10" s="71"/>
      <c r="V10" s="72" t="s">
        <v>27</v>
      </c>
      <c r="W10" s="73">
        <f>Q12*D7</f>
        <v>26892</v>
      </c>
      <c r="X10" s="13"/>
      <c r="Z10" s="88">
        <v>4</v>
      </c>
      <c r="AA10" s="90">
        <f t="shared" si="0"/>
        <v>26892</v>
      </c>
      <c r="AB10" s="90">
        <f t="shared" si="1"/>
        <v>40087.8214</v>
      </c>
      <c r="AC10" s="90">
        <f t="shared" si="6"/>
        <v>9172.6371</v>
      </c>
      <c r="AD10" s="91">
        <f t="shared" si="2"/>
        <v>76152.4585</v>
      </c>
      <c r="AF10" s="90">
        <f t="shared" si="3"/>
        <v>12000</v>
      </c>
      <c r="AG10" s="91">
        <v>0</v>
      </c>
      <c r="AH10" s="91">
        <f t="shared" si="4"/>
        <v>12000</v>
      </c>
      <c r="AI10" s="91">
        <f t="shared" si="5"/>
        <v>64152.4585</v>
      </c>
    </row>
    <row r="11" ht="14.25" spans="2:35">
      <c r="B11" s="9"/>
      <c r="C11" s="25" t="s">
        <v>28</v>
      </c>
      <c r="D11" s="26">
        <v>2200</v>
      </c>
      <c r="E11" s="12"/>
      <c r="F11" s="3"/>
      <c r="G11" s="13"/>
      <c r="H11" s="12"/>
      <c r="I11" s="12"/>
      <c r="J11" s="12"/>
      <c r="K11" s="59"/>
      <c r="L11" s="13"/>
      <c r="M11" s="3"/>
      <c r="N11" s="13"/>
      <c r="O11" s="55"/>
      <c r="P11" s="56" t="s">
        <v>29</v>
      </c>
      <c r="Q11" s="76">
        <v>0.0009</v>
      </c>
      <c r="R11" s="60"/>
      <c r="S11" s="3"/>
      <c r="T11" s="13"/>
      <c r="U11" s="12"/>
      <c r="V11" s="12"/>
      <c r="W11" s="12"/>
      <c r="X11" s="13"/>
      <c r="Z11" s="88">
        <v>5</v>
      </c>
      <c r="AA11" s="90">
        <f t="shared" si="0"/>
        <v>26892</v>
      </c>
      <c r="AB11" s="90">
        <f t="shared" si="1"/>
        <v>40087.8214</v>
      </c>
      <c r="AC11" s="90">
        <f t="shared" si="6"/>
        <v>11465.796375</v>
      </c>
      <c r="AD11" s="91">
        <f t="shared" si="2"/>
        <v>78445.617775</v>
      </c>
      <c r="AF11" s="90">
        <f t="shared" si="3"/>
        <v>12000</v>
      </c>
      <c r="AG11" s="91">
        <v>0</v>
      </c>
      <c r="AH11" s="91">
        <f t="shared" si="4"/>
        <v>12000</v>
      </c>
      <c r="AI11" s="91">
        <f t="shared" si="5"/>
        <v>66445.617775</v>
      </c>
    </row>
    <row r="12" ht="15" spans="2:35">
      <c r="B12" s="9"/>
      <c r="C12" s="27" t="s">
        <v>30</v>
      </c>
      <c r="D12" s="28">
        <v>0.61</v>
      </c>
      <c r="E12" s="12"/>
      <c r="F12" s="3"/>
      <c r="G12" s="13"/>
      <c r="H12" s="16" t="s">
        <v>31</v>
      </c>
      <c r="K12" s="52"/>
      <c r="L12" s="13"/>
      <c r="M12" s="3"/>
      <c r="N12" s="13"/>
      <c r="O12" s="55"/>
      <c r="P12" s="56" t="s">
        <v>32</v>
      </c>
      <c r="Q12" s="70">
        <f>Q10*Q11*D8</f>
        <v>324</v>
      </c>
      <c r="R12" s="60"/>
      <c r="S12" s="3"/>
      <c r="T12" s="13"/>
      <c r="U12" s="68" t="s">
        <v>33</v>
      </c>
      <c r="W12" s="69"/>
      <c r="X12" s="13"/>
      <c r="Z12" s="88">
        <v>6</v>
      </c>
      <c r="AA12" s="90">
        <f t="shared" si="0"/>
        <v>26892</v>
      </c>
      <c r="AB12" s="90">
        <f t="shared" si="1"/>
        <v>40087.8214</v>
      </c>
      <c r="AC12" s="90">
        <f t="shared" si="6"/>
        <v>13758.95565</v>
      </c>
      <c r="AD12" s="91">
        <f t="shared" si="2"/>
        <v>80738.77705</v>
      </c>
      <c r="AF12" s="90">
        <f t="shared" si="3"/>
        <v>12000</v>
      </c>
      <c r="AG12" s="91">
        <v>0</v>
      </c>
      <c r="AH12" s="91">
        <f t="shared" si="4"/>
        <v>12000</v>
      </c>
      <c r="AI12" s="91">
        <f t="shared" si="5"/>
        <v>68738.77705</v>
      </c>
    </row>
    <row r="13" ht="15" spans="2:35">
      <c r="B13" s="9"/>
      <c r="C13" s="21"/>
      <c r="D13" s="29"/>
      <c r="E13" s="12"/>
      <c r="F13" s="3"/>
      <c r="G13" s="13"/>
      <c r="H13" s="18"/>
      <c r="I13" s="18" t="s">
        <v>25</v>
      </c>
      <c r="K13" s="58">
        <v>2</v>
      </c>
      <c r="L13" s="13"/>
      <c r="M13" s="3"/>
      <c r="N13" s="13"/>
      <c r="O13" s="9"/>
      <c r="P13" s="9"/>
      <c r="Q13" s="9"/>
      <c r="R13" s="57"/>
      <c r="S13" s="3"/>
      <c r="T13" s="13"/>
      <c r="U13" s="71"/>
      <c r="V13" s="72" t="s">
        <v>27</v>
      </c>
      <c r="W13" s="73">
        <f>Q17*D7</f>
        <v>40087.8214</v>
      </c>
      <c r="X13" s="13"/>
      <c r="Z13" s="88">
        <v>7</v>
      </c>
      <c r="AA13" s="90">
        <f t="shared" si="0"/>
        <v>26892</v>
      </c>
      <c r="AB13" s="90">
        <f t="shared" si="1"/>
        <v>40087.8214</v>
      </c>
      <c r="AC13" s="90">
        <f t="shared" si="6"/>
        <v>16052.114925</v>
      </c>
      <c r="AD13" s="91">
        <f t="shared" si="2"/>
        <v>83031.936325</v>
      </c>
      <c r="AF13" s="90">
        <f t="shared" si="3"/>
        <v>12000</v>
      </c>
      <c r="AG13" s="91">
        <v>0</v>
      </c>
      <c r="AH13" s="91">
        <f t="shared" si="4"/>
        <v>12000</v>
      </c>
      <c r="AI13" s="91">
        <f t="shared" si="5"/>
        <v>71031.936325</v>
      </c>
    </row>
    <row r="14" ht="14.25" spans="2:35">
      <c r="B14" s="9"/>
      <c r="C14" s="30" t="s">
        <v>344</v>
      </c>
      <c r="D14" s="31">
        <v>0</v>
      </c>
      <c r="E14" s="12"/>
      <c r="F14" s="3"/>
      <c r="G14" s="13"/>
      <c r="H14" s="21"/>
      <c r="I14" s="21"/>
      <c r="K14" s="60"/>
      <c r="L14" s="13"/>
      <c r="M14" s="3"/>
      <c r="N14" s="13"/>
      <c r="O14" s="53" t="s">
        <v>31</v>
      </c>
      <c r="Q14" s="67"/>
      <c r="R14" s="12"/>
      <c r="S14" s="3"/>
      <c r="T14" s="13"/>
      <c r="U14" s="9"/>
      <c r="V14" s="9"/>
      <c r="W14" s="9"/>
      <c r="X14" s="13"/>
      <c r="Z14" s="88">
        <v>8</v>
      </c>
      <c r="AA14" s="90">
        <f t="shared" si="0"/>
        <v>26892</v>
      </c>
      <c r="AB14" s="90">
        <f t="shared" si="1"/>
        <v>40087.8214</v>
      </c>
      <c r="AC14" s="90">
        <f t="shared" si="6"/>
        <v>18345.2742</v>
      </c>
      <c r="AD14" s="91">
        <f t="shared" si="2"/>
        <v>85325.0956</v>
      </c>
      <c r="AF14" s="90">
        <f t="shared" si="3"/>
        <v>12000</v>
      </c>
      <c r="AG14" s="91">
        <v>0</v>
      </c>
      <c r="AH14" s="91">
        <f t="shared" si="4"/>
        <v>12000</v>
      </c>
      <c r="AI14" s="91">
        <f t="shared" si="5"/>
        <v>73325.0956</v>
      </c>
    </row>
    <row r="15" ht="14.25" spans="2:35">
      <c r="B15" s="9"/>
      <c r="C15" s="30" t="s">
        <v>345</v>
      </c>
      <c r="D15" s="31">
        <v>0</v>
      </c>
      <c r="E15" s="12"/>
      <c r="F15" s="3"/>
      <c r="G15" s="12"/>
      <c r="H15" s="9"/>
      <c r="I15" s="9"/>
      <c r="J15" s="9"/>
      <c r="K15" s="9"/>
      <c r="L15" s="13"/>
      <c r="M15" s="3"/>
      <c r="N15" s="13"/>
      <c r="O15" s="55"/>
      <c r="P15" s="56" t="s">
        <v>26</v>
      </c>
      <c r="Q15" s="70">
        <f>Q18*K13*D22</f>
        <v>45478.8888888889</v>
      </c>
      <c r="R15" s="59"/>
      <c r="S15" s="3"/>
      <c r="T15" s="13"/>
      <c r="U15" s="77" t="s">
        <v>56</v>
      </c>
      <c r="W15" s="78">
        <f>SUM(W13,W10,W7)</f>
        <v>69272.980675</v>
      </c>
      <c r="X15" s="13"/>
      <c r="Z15" s="88">
        <v>9</v>
      </c>
      <c r="AA15" s="90">
        <f t="shared" si="0"/>
        <v>26892</v>
      </c>
      <c r="AB15" s="90">
        <f t="shared" si="1"/>
        <v>40087.8214</v>
      </c>
      <c r="AC15" s="90">
        <f t="shared" si="6"/>
        <v>20638.433475</v>
      </c>
      <c r="AD15" s="91">
        <f t="shared" si="2"/>
        <v>87618.254875</v>
      </c>
      <c r="AF15" s="90">
        <f t="shared" si="3"/>
        <v>12000</v>
      </c>
      <c r="AG15" s="91">
        <v>0</v>
      </c>
      <c r="AH15" s="91">
        <f t="shared" si="4"/>
        <v>12000</v>
      </c>
      <c r="AI15" s="91">
        <f t="shared" si="5"/>
        <v>75618.254875</v>
      </c>
    </row>
    <row r="16" ht="14.25" spans="2:35">
      <c r="B16" s="9"/>
      <c r="C16" s="21"/>
      <c r="D16" s="32"/>
      <c r="E16" s="12"/>
      <c r="F16" s="3"/>
      <c r="M16" s="3"/>
      <c r="N16" s="13"/>
      <c r="O16" s="55"/>
      <c r="P16" s="56" t="s">
        <v>29</v>
      </c>
      <c r="Q16" s="76">
        <v>0.0059</v>
      </c>
      <c r="R16" s="79"/>
      <c r="S16" s="3"/>
      <c r="T16" s="13"/>
      <c r="X16" s="13"/>
      <c r="Z16" s="88">
        <v>10</v>
      </c>
      <c r="AA16" s="90">
        <f t="shared" si="0"/>
        <v>26892</v>
      </c>
      <c r="AB16" s="90">
        <f t="shared" si="1"/>
        <v>40087.8214</v>
      </c>
      <c r="AC16" s="90">
        <f t="shared" si="6"/>
        <v>22931.59275</v>
      </c>
      <c r="AD16" s="91">
        <f t="shared" si="2"/>
        <v>89911.41415</v>
      </c>
      <c r="AF16" s="90">
        <f t="shared" si="3"/>
        <v>12000</v>
      </c>
      <c r="AG16" s="91">
        <v>0</v>
      </c>
      <c r="AH16" s="91">
        <f t="shared" si="4"/>
        <v>12000</v>
      </c>
      <c r="AI16" s="91">
        <f t="shared" si="5"/>
        <v>77911.41415</v>
      </c>
    </row>
    <row r="17" ht="20.25" spans="2:35">
      <c r="B17" s="9"/>
      <c r="C17" s="33" t="s">
        <v>346</v>
      </c>
      <c r="D17" s="34"/>
      <c r="E17" s="12"/>
      <c r="F17" s="3"/>
      <c r="G17" s="3"/>
      <c r="L17" s="3"/>
      <c r="M17" s="3"/>
      <c r="N17" s="13"/>
      <c r="O17" s="55"/>
      <c r="P17" s="56" t="s">
        <v>32</v>
      </c>
      <c r="Q17" s="70">
        <f>Q16*Q15*D8</f>
        <v>482.9858</v>
      </c>
      <c r="R17" s="79"/>
      <c r="S17" s="3"/>
      <c r="T17" s="13"/>
      <c r="U17" s="77" t="s">
        <v>347</v>
      </c>
      <c r="W17" s="78">
        <f>(W7*66)+((W13+W10)*12)</f>
        <v>955106.36895</v>
      </c>
      <c r="X17" s="13"/>
      <c r="Z17" s="88">
        <v>11</v>
      </c>
      <c r="AA17" s="90">
        <f t="shared" si="0"/>
        <v>26892</v>
      </c>
      <c r="AB17" s="90">
        <f t="shared" si="1"/>
        <v>40087.8214</v>
      </c>
      <c r="AC17" s="90">
        <f t="shared" si="6"/>
        <v>25224.752025</v>
      </c>
      <c r="AD17" s="91">
        <f t="shared" si="2"/>
        <v>92204.573425</v>
      </c>
      <c r="AF17" s="90">
        <f t="shared" si="3"/>
        <v>12000</v>
      </c>
      <c r="AG17" s="91">
        <v>0</v>
      </c>
      <c r="AH17" s="91">
        <f t="shared" si="4"/>
        <v>12000</v>
      </c>
      <c r="AI17" s="91">
        <f t="shared" si="5"/>
        <v>80204.573425</v>
      </c>
    </row>
    <row r="18" ht="21" spans="2:35">
      <c r="B18" s="9"/>
      <c r="C18" s="10"/>
      <c r="D18" s="11"/>
      <c r="E18" s="12"/>
      <c r="F18" s="3"/>
      <c r="G18" s="3"/>
      <c r="H18" s="35"/>
      <c r="I18" s="35"/>
      <c r="K18" s="61"/>
      <c r="L18" s="3"/>
      <c r="M18" s="3"/>
      <c r="N18" s="12"/>
      <c r="O18" s="56"/>
      <c r="P18" s="56" t="s">
        <v>37</v>
      </c>
      <c r="Q18" s="70">
        <f>(30.5/D8)*D11*D12</f>
        <v>22739.4444444444</v>
      </c>
      <c r="R18" s="79"/>
      <c r="S18" s="3"/>
      <c r="T18" s="13"/>
      <c r="X18" s="13"/>
      <c r="Z18" s="88">
        <v>12</v>
      </c>
      <c r="AA18" s="90">
        <f t="shared" si="0"/>
        <v>26892</v>
      </c>
      <c r="AB18" s="90">
        <f t="shared" si="1"/>
        <v>40087.8214</v>
      </c>
      <c r="AC18" s="90">
        <f t="shared" si="6"/>
        <v>27517.9113</v>
      </c>
      <c r="AD18" s="91">
        <f t="shared" si="2"/>
        <v>94497.7327</v>
      </c>
      <c r="AF18" s="90">
        <f t="shared" si="3"/>
        <v>12000</v>
      </c>
      <c r="AG18" s="91">
        <v>0</v>
      </c>
      <c r="AH18" s="91">
        <f t="shared" si="4"/>
        <v>12000</v>
      </c>
      <c r="AI18" s="91">
        <f t="shared" si="5"/>
        <v>82497.7327</v>
      </c>
    </row>
    <row r="19" ht="15" spans="2:24">
      <c r="B19" s="9"/>
      <c r="C19" s="36" t="s">
        <v>24</v>
      </c>
      <c r="D19" s="37">
        <v>42753</v>
      </c>
      <c r="E19" s="12"/>
      <c r="F19" s="3"/>
      <c r="G19" s="3"/>
      <c r="H19" s="35"/>
      <c r="I19" s="35"/>
      <c r="K19" s="61"/>
      <c r="L19" s="3"/>
      <c r="M19" s="3"/>
      <c r="N19" s="12"/>
      <c r="O19" s="12"/>
      <c r="P19" s="12"/>
      <c r="Q19" s="12"/>
      <c r="R19" s="12"/>
      <c r="S19" s="3"/>
      <c r="T19" s="13"/>
      <c r="U19" s="13"/>
      <c r="V19" s="13"/>
      <c r="W19" s="13"/>
      <c r="X19" s="13"/>
    </row>
    <row r="20" ht="15" spans="2:19">
      <c r="B20" s="9"/>
      <c r="C20" s="38" t="s">
        <v>348</v>
      </c>
      <c r="D20" s="39">
        <v>0.85</v>
      </c>
      <c r="E20" s="12"/>
      <c r="F20" s="3"/>
      <c r="G20" s="3"/>
      <c r="L20" s="3"/>
      <c r="M20" s="3"/>
      <c r="S20" s="3"/>
    </row>
    <row r="21" ht="21.75" spans="2:24">
      <c r="B21" s="9"/>
      <c r="C21" s="9"/>
      <c r="D21" s="9"/>
      <c r="E21" s="12"/>
      <c r="F21" s="3"/>
      <c r="G21" s="3"/>
      <c r="L21" s="3"/>
      <c r="M21" s="3"/>
      <c r="S21" s="3"/>
      <c r="T21" s="80" t="s">
        <v>41</v>
      </c>
      <c r="W21" s="81"/>
      <c r="X21" s="81"/>
    </row>
    <row r="22" ht="15" spans="2:24">
      <c r="B22" s="9"/>
      <c r="C22" s="36" t="s">
        <v>349</v>
      </c>
      <c r="D22" s="40">
        <v>1</v>
      </c>
      <c r="E22" s="12"/>
      <c r="F22" s="3"/>
      <c r="G22" s="3"/>
      <c r="L22" s="3"/>
      <c r="M22" s="3"/>
      <c r="N22" s="3"/>
      <c r="P22" s="3"/>
      <c r="Q22" s="61"/>
      <c r="R22" s="61"/>
      <c r="S22" s="3"/>
      <c r="T22" s="13"/>
      <c r="U22" s="13"/>
      <c r="V22" s="13"/>
      <c r="W22" s="50"/>
      <c r="X22" s="13"/>
    </row>
    <row r="23" ht="15" spans="2:24">
      <c r="B23" s="9"/>
      <c r="C23" s="38" t="s">
        <v>350</v>
      </c>
      <c r="D23" s="39">
        <v>0.75</v>
      </c>
      <c r="E23" s="12"/>
      <c r="F23" s="3"/>
      <c r="G23" s="3"/>
      <c r="H23" s="35"/>
      <c r="I23" s="35"/>
      <c r="J23" s="35"/>
      <c r="K23" s="62"/>
      <c r="L23" s="3"/>
      <c r="M23" s="3"/>
      <c r="N23" s="3"/>
      <c r="O23" s="3"/>
      <c r="P23" s="35"/>
      <c r="Q23" s="61"/>
      <c r="R23" s="61"/>
      <c r="S23" s="3"/>
      <c r="T23" s="13"/>
      <c r="U23" s="68" t="s">
        <v>44</v>
      </c>
      <c r="W23" s="69"/>
      <c r="X23" s="13"/>
    </row>
    <row r="24" ht="15" spans="2:24">
      <c r="B24" s="9"/>
      <c r="C24" s="9"/>
      <c r="D24" s="9"/>
      <c r="E24" s="12"/>
      <c r="F24" s="3"/>
      <c r="G24" s="3"/>
      <c r="H24" s="35"/>
      <c r="I24" s="35"/>
      <c r="J24" s="35"/>
      <c r="K24" s="61"/>
      <c r="L24" s="3"/>
      <c r="M24" s="3"/>
      <c r="N24" s="3"/>
      <c r="O24" s="3"/>
      <c r="P24" s="35"/>
      <c r="Q24" s="61"/>
      <c r="R24" s="61"/>
      <c r="S24" s="3"/>
      <c r="T24" s="13"/>
      <c r="U24" s="71"/>
      <c r="V24" s="72" t="s">
        <v>47</v>
      </c>
      <c r="W24" s="82">
        <v>2000</v>
      </c>
      <c r="X24" s="13"/>
    </row>
    <row r="25" ht="14.25" spans="2:24">
      <c r="B25" s="9"/>
      <c r="C25" s="30" t="s">
        <v>351</v>
      </c>
      <c r="D25" s="41">
        <v>0</v>
      </c>
      <c r="E25" s="12"/>
      <c r="F25" s="3"/>
      <c r="G25" s="3"/>
      <c r="H25" s="35"/>
      <c r="I25" s="35"/>
      <c r="J25" s="35"/>
      <c r="K25" s="61"/>
      <c r="L25" s="3"/>
      <c r="M25" s="3"/>
      <c r="O25" s="3"/>
      <c r="P25" s="3"/>
      <c r="Q25" s="3"/>
      <c r="R25" s="3"/>
      <c r="S25" s="3"/>
      <c r="T25" s="13"/>
      <c r="U25" s="71"/>
      <c r="V25" s="72" t="s">
        <v>48</v>
      </c>
      <c r="W25" s="73">
        <f>W24*D6</f>
        <v>60000</v>
      </c>
      <c r="X25" s="13"/>
    </row>
    <row r="26" ht="14.25" spans="2:24">
      <c r="B26" s="9"/>
      <c r="C26" s="30" t="s">
        <v>352</v>
      </c>
      <c r="D26" s="42">
        <v>0</v>
      </c>
      <c r="E26" s="12"/>
      <c r="F26" s="3"/>
      <c r="G26" s="3"/>
      <c r="H26" s="35"/>
      <c r="K26" s="61"/>
      <c r="L26" s="3"/>
      <c r="M26" s="3"/>
      <c r="N26" s="3"/>
      <c r="O26" s="63"/>
      <c r="Q26" s="83"/>
      <c r="R26" s="83"/>
      <c r="S26" s="3"/>
      <c r="T26" s="9"/>
      <c r="U26" s="12"/>
      <c r="V26" s="74"/>
      <c r="W26" s="75"/>
      <c r="X26" s="9"/>
    </row>
    <row r="27" ht="14.25" spans="2:24">
      <c r="B27" s="9"/>
      <c r="C27" s="30" t="s">
        <v>353</v>
      </c>
      <c r="D27" s="42">
        <v>0</v>
      </c>
      <c r="E27" s="12"/>
      <c r="F27" s="3"/>
      <c r="G27" s="3"/>
      <c r="H27" s="35"/>
      <c r="I27" s="35"/>
      <c r="K27" s="61"/>
      <c r="L27" s="3"/>
      <c r="M27" s="3"/>
      <c r="N27" s="3"/>
      <c r="O27" s="3"/>
      <c r="P27" s="35"/>
      <c r="Q27" s="61"/>
      <c r="R27" s="61"/>
      <c r="S27" s="3"/>
      <c r="T27" s="13"/>
      <c r="U27" s="68" t="s">
        <v>50</v>
      </c>
      <c r="W27" s="69"/>
      <c r="X27" s="13"/>
    </row>
    <row r="28" ht="14.25" spans="2:24">
      <c r="B28" s="9"/>
      <c r="C28" s="21"/>
      <c r="D28" s="22"/>
      <c r="E28" s="12"/>
      <c r="F28" s="3"/>
      <c r="G28" s="3"/>
      <c r="H28" s="35"/>
      <c r="I28" s="35"/>
      <c r="J28" s="35"/>
      <c r="K28" s="61"/>
      <c r="L28" s="3"/>
      <c r="M28" s="3"/>
      <c r="N28" s="3"/>
      <c r="O28" s="3"/>
      <c r="P28" s="35"/>
      <c r="Q28" s="61"/>
      <c r="R28" s="61"/>
      <c r="S28" s="3"/>
      <c r="T28" s="12"/>
      <c r="U28" s="71"/>
      <c r="V28" s="72" t="s">
        <v>51</v>
      </c>
      <c r="W28" s="84">
        <v>400</v>
      </c>
      <c r="X28" s="12"/>
    </row>
    <row r="29" ht="14.25" spans="3:24">
      <c r="C29" s="35"/>
      <c r="D29" s="43"/>
      <c r="E29" s="3"/>
      <c r="F29" s="3"/>
      <c r="G29" s="3"/>
      <c r="H29" s="35"/>
      <c r="I29" s="35"/>
      <c r="J29" s="35"/>
      <c r="K29" s="61"/>
      <c r="L29" s="3"/>
      <c r="M29" s="3"/>
      <c r="N29" s="3"/>
      <c r="O29" s="3"/>
      <c r="P29" s="35"/>
      <c r="Q29" s="61"/>
      <c r="R29" s="61"/>
      <c r="S29" s="3"/>
      <c r="T29" s="9"/>
      <c r="U29" s="71"/>
      <c r="V29" s="72" t="s">
        <v>53</v>
      </c>
      <c r="W29" s="73">
        <f>W28*D6</f>
        <v>12000</v>
      </c>
      <c r="X29" s="9"/>
    </row>
    <row r="30" ht="14.25" spans="3:24">
      <c r="C30" s="35"/>
      <c r="D30" s="44"/>
      <c r="E30" s="3"/>
      <c r="F30" s="3"/>
      <c r="G30" s="3"/>
      <c r="H30" s="35"/>
      <c r="I30" s="35"/>
      <c r="J30" s="35"/>
      <c r="K30" s="61"/>
      <c r="L30" s="3"/>
      <c r="M30" s="3"/>
      <c r="N30" s="3"/>
      <c r="O30" s="3"/>
      <c r="P30" s="3"/>
      <c r="Q30" s="3"/>
      <c r="R30" s="3"/>
      <c r="T30" s="9"/>
      <c r="U30" s="12"/>
      <c r="V30" s="74"/>
      <c r="W30" s="75"/>
      <c r="X30" s="9"/>
    </row>
    <row r="31" ht="14.25" spans="3:11">
      <c r="C31" s="35"/>
      <c r="D31" s="45"/>
      <c r="H31" s="35"/>
      <c r="I31" s="35"/>
      <c r="J31" s="35"/>
      <c r="K31" s="61"/>
    </row>
    <row r="32" ht="14.25" spans="3:11">
      <c r="C32" s="35"/>
      <c r="D32" s="43"/>
      <c r="H32" s="35"/>
      <c r="I32" s="35"/>
      <c r="J32" s="35"/>
      <c r="K32" s="61"/>
    </row>
    <row r="33" ht="14.25" spans="3:11">
      <c r="C33" s="35"/>
      <c r="D33" s="43"/>
      <c r="H33" s="35"/>
      <c r="I33" s="35"/>
      <c r="J33" s="35"/>
      <c r="K33" s="61"/>
    </row>
    <row r="34" ht="14.25" spans="3:11">
      <c r="C34" s="35"/>
      <c r="D34" s="43"/>
      <c r="H34" s="35"/>
      <c r="I34" s="35"/>
      <c r="J34" s="35"/>
      <c r="K34" s="61"/>
    </row>
  </sheetData>
  <mergeCells count="30">
    <mergeCell ref="G4:I4"/>
    <mergeCell ref="N4:P4"/>
    <mergeCell ref="T4:V4"/>
    <mergeCell ref="Z4:AB4"/>
    <mergeCell ref="H6:I6"/>
    <mergeCell ref="O6:P6"/>
    <mergeCell ref="U6:V6"/>
    <mergeCell ref="I7:J7"/>
    <mergeCell ref="I8:J8"/>
    <mergeCell ref="H9:J9"/>
    <mergeCell ref="O9:P9"/>
    <mergeCell ref="U9:V9"/>
    <mergeCell ref="I10:J10"/>
    <mergeCell ref="H12:J12"/>
    <mergeCell ref="U12:V12"/>
    <mergeCell ref="I13:J13"/>
    <mergeCell ref="I14:J14"/>
    <mergeCell ref="O14:P14"/>
    <mergeCell ref="I18:J18"/>
    <mergeCell ref="I19:J19"/>
    <mergeCell ref="T21:V21"/>
    <mergeCell ref="U23:V23"/>
    <mergeCell ref="H26:J26"/>
    <mergeCell ref="O26:P26"/>
    <mergeCell ref="I27:J27"/>
    <mergeCell ref="U27:V27"/>
    <mergeCell ref="W15:W16"/>
    <mergeCell ref="W17:W18"/>
    <mergeCell ref="U15:V16"/>
    <mergeCell ref="U17:V1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tabSelected="1" workbookViewId="0">
      <selection activeCell="G19" sqref="G19"/>
    </sheetView>
  </sheetViews>
  <sheetFormatPr defaultColWidth="9" defaultRowHeight="12.75" outlineLevelCol="6"/>
  <cols>
    <col min="1" max="1" width="24.2857142857143" customWidth="1"/>
    <col min="2" max="2" width="32.5714285714286" customWidth="1"/>
    <col min="3" max="3" width="11.5714285714286" style="218" hidden="1" customWidth="1"/>
    <col min="4" max="4" width="20.8571428571429" style="218" customWidth="1"/>
    <col min="5" max="5" width="37.8571428571429" customWidth="1"/>
    <col min="6" max="6" width="25.1428571428571" style="218" customWidth="1"/>
    <col min="7" max="7" width="32.2857142857143" style="218" customWidth="1"/>
    <col min="8" max="8" width="8.71428571428571" style="218"/>
  </cols>
  <sheetData>
    <row r="1" ht="58.5" customHeight="1" spans="1:7">
      <c r="A1" s="357" t="s">
        <v>59</v>
      </c>
      <c r="B1" s="358" t="s">
        <v>60</v>
      </c>
      <c r="C1" s="358" t="s">
        <v>61</v>
      </c>
      <c r="D1" s="358" t="s">
        <v>62</v>
      </c>
      <c r="E1" s="358" t="s">
        <v>63</v>
      </c>
      <c r="F1" s="359" t="s">
        <v>64</v>
      </c>
      <c r="G1" s="360" t="s">
        <v>65</v>
      </c>
    </row>
    <row r="2" ht="57" spans="1:7">
      <c r="A2" s="361" t="s">
        <v>66</v>
      </c>
      <c r="B2" s="362" t="s">
        <v>67</v>
      </c>
      <c r="C2" s="363">
        <v>65</v>
      </c>
      <c r="D2" s="364">
        <f t="shared" ref="D2:D7" si="0">C2*1.276</f>
        <v>82.94</v>
      </c>
      <c r="E2" s="365" t="s">
        <v>68</v>
      </c>
      <c r="F2" s="366" t="s">
        <v>69</v>
      </c>
      <c r="G2" s="367" t="s">
        <v>70</v>
      </c>
    </row>
    <row r="3" ht="57.75" spans="1:7">
      <c r="A3" s="368"/>
      <c r="B3" s="369" t="s">
        <v>71</v>
      </c>
      <c r="C3" s="370">
        <v>45</v>
      </c>
      <c r="D3" s="371">
        <f t="shared" si="0"/>
        <v>57.42</v>
      </c>
      <c r="E3" s="372" t="s">
        <v>72</v>
      </c>
      <c r="F3" s="373" t="s">
        <v>69</v>
      </c>
      <c r="G3" s="374" t="s">
        <v>70</v>
      </c>
    </row>
    <row r="4" ht="14.25" spans="1:7">
      <c r="A4" s="361" t="s">
        <v>73</v>
      </c>
      <c r="B4" s="375" t="s">
        <v>74</v>
      </c>
      <c r="C4" s="376">
        <v>450</v>
      </c>
      <c r="D4" s="377">
        <f t="shared" si="0"/>
        <v>574.2</v>
      </c>
      <c r="E4" s="375" t="s">
        <v>75</v>
      </c>
      <c r="F4" s="366" t="s">
        <v>69</v>
      </c>
      <c r="G4" s="378"/>
    </row>
    <row r="5" ht="14.25" spans="1:7">
      <c r="A5" s="379"/>
      <c r="B5" s="380" t="s">
        <v>76</v>
      </c>
      <c r="C5" s="381">
        <v>250</v>
      </c>
      <c r="D5" s="382">
        <f t="shared" si="0"/>
        <v>319</v>
      </c>
      <c r="E5" s="380" t="s">
        <v>75</v>
      </c>
      <c r="F5" s="383" t="s">
        <v>69</v>
      </c>
      <c r="G5" s="384"/>
    </row>
    <row r="6" ht="14.25" spans="1:7">
      <c r="A6" s="379"/>
      <c r="B6" s="380" t="s">
        <v>77</v>
      </c>
      <c r="C6" s="381">
        <v>200</v>
      </c>
      <c r="D6" s="382">
        <f t="shared" si="0"/>
        <v>255.2</v>
      </c>
      <c r="E6" s="380" t="s">
        <v>75</v>
      </c>
      <c r="F6" s="383" t="s">
        <v>69</v>
      </c>
      <c r="G6" s="384"/>
    </row>
    <row r="7" ht="15" spans="1:7">
      <c r="A7" s="379"/>
      <c r="B7" s="380" t="s">
        <v>78</v>
      </c>
      <c r="C7" s="381">
        <v>300</v>
      </c>
      <c r="D7" s="385">
        <f t="shared" si="0"/>
        <v>382.8</v>
      </c>
      <c r="E7" s="380" t="s">
        <v>75</v>
      </c>
      <c r="F7" s="383" t="s">
        <v>69</v>
      </c>
      <c r="G7" s="384"/>
    </row>
    <row r="8" ht="15" hidden="1" spans="1:7">
      <c r="A8" s="368"/>
      <c r="B8" s="386" t="s">
        <v>79</v>
      </c>
      <c r="C8" s="387">
        <v>400</v>
      </c>
      <c r="D8" s="388">
        <f t="shared" ref="D8" si="1">C8*1.232</f>
        <v>492.8</v>
      </c>
      <c r="E8" s="386" t="s">
        <v>75</v>
      </c>
      <c r="F8" s="373" t="s">
        <v>69</v>
      </c>
      <c r="G8" s="389"/>
    </row>
    <row r="9" ht="14.25" spans="1:7">
      <c r="A9" s="361" t="s">
        <v>80</v>
      </c>
      <c r="B9" s="390" t="s">
        <v>81</v>
      </c>
      <c r="C9" s="391">
        <v>4750</v>
      </c>
      <c r="D9" s="392">
        <f>C9*1.276</f>
        <v>6061</v>
      </c>
      <c r="E9" s="393" t="s">
        <v>82</v>
      </c>
      <c r="F9" s="394">
        <f>D9/4</f>
        <v>1515.25</v>
      </c>
      <c r="G9" s="378"/>
    </row>
    <row r="10" ht="15" spans="1:7">
      <c r="A10" s="368"/>
      <c r="B10" s="395" t="s">
        <v>81</v>
      </c>
      <c r="C10" s="396">
        <v>5750</v>
      </c>
      <c r="D10" s="397">
        <f>C10*1.276</f>
        <v>7337</v>
      </c>
      <c r="E10" s="398" t="s">
        <v>83</v>
      </c>
      <c r="F10" s="399">
        <f>D10/4</f>
        <v>1834.25</v>
      </c>
      <c r="G10" s="389"/>
    </row>
    <row r="11" spans="4:4">
      <c r="D11" s="400"/>
    </row>
    <row r="18" ht="14.25" spans="1:7">
      <c r="A18" s="401"/>
      <c r="B18" s="401"/>
      <c r="C18" s="402"/>
      <c r="D18" s="402"/>
      <c r="E18" s="401"/>
      <c r="F18" s="402"/>
      <c r="G18" s="402"/>
    </row>
  </sheetData>
  <sheetProtection sheet="1" objects="1" scenarios="1"/>
  <mergeCells count="3">
    <mergeCell ref="A2:A3"/>
    <mergeCell ref="A4:A8"/>
    <mergeCell ref="A9:A1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showGridLines="0" workbookViewId="0">
      <pane ySplit="1" topLeftCell="A3" activePane="bottomLeft" state="frozen"/>
      <selection/>
      <selection pane="bottomLeft" activeCell="C7" sqref="C7"/>
    </sheetView>
  </sheetViews>
  <sheetFormatPr defaultColWidth="9.14285714285714" defaultRowHeight="12.75"/>
  <cols>
    <col min="1" max="1" width="23.1428571428571" customWidth="1"/>
    <col min="2" max="2" width="41.4285714285714" customWidth="1"/>
    <col min="3" max="3" width="25.5714285714286" customWidth="1"/>
    <col min="4" max="4" width="16.2857142857143" customWidth="1"/>
    <col min="5" max="5" width="18.7142857142857" hidden="1" customWidth="1"/>
    <col min="6" max="6" width="22.1428571428571" customWidth="1"/>
    <col min="7" max="7" width="11.8571428571429" customWidth="1"/>
    <col min="8" max="8" width="27.4285714285714" customWidth="1"/>
    <col min="9" max="9" width="11.8571428571429" customWidth="1"/>
    <col min="10" max="10" width="29.2857142857143" customWidth="1"/>
  </cols>
  <sheetData>
    <row r="1" ht="54" customHeight="1" spans="1:10">
      <c r="A1" s="219" t="s">
        <v>59</v>
      </c>
      <c r="B1" s="220" t="s">
        <v>60</v>
      </c>
      <c r="C1" s="220" t="s">
        <v>84</v>
      </c>
      <c r="D1" s="220" t="s">
        <v>85</v>
      </c>
      <c r="E1" s="220" t="s">
        <v>86</v>
      </c>
      <c r="F1" s="220" t="s">
        <v>62</v>
      </c>
      <c r="G1" s="220" t="s">
        <v>64</v>
      </c>
      <c r="H1" s="220" t="s">
        <v>87</v>
      </c>
      <c r="I1" s="220" t="s">
        <v>88</v>
      </c>
      <c r="J1" s="221" t="s">
        <v>89</v>
      </c>
    </row>
    <row r="2" ht="14.25" hidden="1" spans="1:10">
      <c r="A2" s="263" t="s">
        <v>90</v>
      </c>
      <c r="B2" s="289" t="s">
        <v>91</v>
      </c>
      <c r="C2" s="290" t="s">
        <v>92</v>
      </c>
      <c r="D2" s="264" t="s">
        <v>93</v>
      </c>
      <c r="E2" s="224">
        <v>800</v>
      </c>
      <c r="F2" s="291">
        <f t="shared" ref="F2:F11" si="0">E2*1.232</f>
        <v>985.6</v>
      </c>
      <c r="G2" s="292">
        <v>246.4</v>
      </c>
      <c r="H2" s="290" t="s">
        <v>94</v>
      </c>
      <c r="I2" s="341"/>
      <c r="J2" s="342" t="s">
        <v>95</v>
      </c>
    </row>
    <row r="3" ht="14.25" spans="1:10">
      <c r="A3" s="270"/>
      <c r="B3" s="293" t="s">
        <v>96</v>
      </c>
      <c r="C3" s="294" t="s">
        <v>97</v>
      </c>
      <c r="D3" s="200" t="s">
        <v>93</v>
      </c>
      <c r="E3" s="229">
        <v>400</v>
      </c>
      <c r="F3" s="295">
        <f t="shared" ref="F3:F10" si="1">E3*1.276</f>
        <v>510.4</v>
      </c>
      <c r="G3" s="296" t="s">
        <v>69</v>
      </c>
      <c r="H3" s="294" t="s">
        <v>98</v>
      </c>
      <c r="I3" s="343">
        <f>30*1.276</f>
        <v>38.28</v>
      </c>
      <c r="J3" s="344" t="s">
        <v>99</v>
      </c>
    </row>
    <row r="4" ht="14.25" spans="1:10">
      <c r="A4" s="270"/>
      <c r="B4" s="293" t="s">
        <v>100</v>
      </c>
      <c r="C4" s="294" t="s">
        <v>97</v>
      </c>
      <c r="D4" s="200" t="s">
        <v>93</v>
      </c>
      <c r="E4" s="229">
        <v>800</v>
      </c>
      <c r="F4" s="295">
        <f t="shared" si="1"/>
        <v>1020.8</v>
      </c>
      <c r="G4" s="296" t="s">
        <v>69</v>
      </c>
      <c r="H4" s="294" t="s">
        <v>101</v>
      </c>
      <c r="I4" s="345"/>
      <c r="J4" s="344" t="s">
        <v>99</v>
      </c>
    </row>
    <row r="5" ht="14.25" spans="1:10">
      <c r="A5" s="270"/>
      <c r="B5" s="293" t="s">
        <v>102</v>
      </c>
      <c r="C5" s="200" t="s">
        <v>103</v>
      </c>
      <c r="D5" s="252" t="s">
        <v>93</v>
      </c>
      <c r="E5" s="229">
        <v>1400</v>
      </c>
      <c r="F5" s="229">
        <f t="shared" si="1"/>
        <v>1786.4</v>
      </c>
      <c r="G5" s="204">
        <f>200*1.276</f>
        <v>255.2</v>
      </c>
      <c r="H5" s="200" t="s">
        <v>104</v>
      </c>
      <c r="I5" s="345"/>
      <c r="J5" s="344" t="s">
        <v>105</v>
      </c>
    </row>
    <row r="6" ht="14.25" spans="1:10">
      <c r="A6" s="270"/>
      <c r="B6" s="293" t="s">
        <v>106</v>
      </c>
      <c r="C6" s="200" t="s">
        <v>107</v>
      </c>
      <c r="D6" s="200" t="s">
        <v>93</v>
      </c>
      <c r="E6" s="229">
        <v>1600</v>
      </c>
      <c r="F6" s="229">
        <f t="shared" si="1"/>
        <v>2041.6</v>
      </c>
      <c r="G6" s="204">
        <f t="shared" ref="G6:G8" si="2">200*1.276</f>
        <v>255.2</v>
      </c>
      <c r="H6" s="200" t="s">
        <v>104</v>
      </c>
      <c r="I6" s="345"/>
      <c r="J6" s="344" t="s">
        <v>105</v>
      </c>
    </row>
    <row r="7" ht="14.25" spans="1:11">
      <c r="A7" s="270"/>
      <c r="B7" s="297" t="s">
        <v>108</v>
      </c>
      <c r="C7" s="200" t="s">
        <v>109</v>
      </c>
      <c r="D7" s="200" t="s">
        <v>93</v>
      </c>
      <c r="E7" s="229">
        <v>1600</v>
      </c>
      <c r="F7" s="229">
        <f t="shared" si="1"/>
        <v>2041.6</v>
      </c>
      <c r="G7" s="204">
        <f t="shared" si="2"/>
        <v>255.2</v>
      </c>
      <c r="H7" s="200" t="s">
        <v>104</v>
      </c>
      <c r="I7" s="345"/>
      <c r="J7" s="344" t="s">
        <v>105</v>
      </c>
      <c r="K7" s="346"/>
    </row>
    <row r="8" ht="14.25" spans="1:10">
      <c r="A8" s="270"/>
      <c r="B8" s="297" t="s">
        <v>110</v>
      </c>
      <c r="C8" s="294" t="s">
        <v>92</v>
      </c>
      <c r="D8" s="200" t="s">
        <v>93</v>
      </c>
      <c r="E8" s="229">
        <v>1800</v>
      </c>
      <c r="F8" s="295">
        <f t="shared" si="1"/>
        <v>2296.8</v>
      </c>
      <c r="G8" s="204">
        <f t="shared" si="2"/>
        <v>255.2</v>
      </c>
      <c r="H8" s="200" t="s">
        <v>104</v>
      </c>
      <c r="I8" s="345"/>
      <c r="J8" s="344" t="s">
        <v>105</v>
      </c>
    </row>
    <row r="9" ht="14.25" spans="1:10">
      <c r="A9" s="270"/>
      <c r="B9" s="297" t="s">
        <v>111</v>
      </c>
      <c r="C9" s="294" t="s">
        <v>112</v>
      </c>
      <c r="D9" s="200" t="s">
        <v>113</v>
      </c>
      <c r="E9" s="229">
        <v>500</v>
      </c>
      <c r="F9" s="295">
        <f t="shared" si="1"/>
        <v>638</v>
      </c>
      <c r="G9" s="204">
        <f>100*1.276</f>
        <v>127.6</v>
      </c>
      <c r="H9" s="200" t="s">
        <v>114</v>
      </c>
      <c r="I9" s="345"/>
      <c r="J9" s="344" t="s">
        <v>115</v>
      </c>
    </row>
    <row r="10" ht="15" spans="1:10">
      <c r="A10" s="270"/>
      <c r="B10" s="297" t="s">
        <v>116</v>
      </c>
      <c r="C10" s="294" t="s">
        <v>117</v>
      </c>
      <c r="D10" s="200" t="s">
        <v>113</v>
      </c>
      <c r="E10" s="229">
        <v>800</v>
      </c>
      <c r="F10" s="295">
        <f t="shared" si="1"/>
        <v>1020.8</v>
      </c>
      <c r="G10" s="204">
        <f>200*1.276</f>
        <v>255.2</v>
      </c>
      <c r="H10" s="200" t="s">
        <v>114</v>
      </c>
      <c r="I10" s="345"/>
      <c r="J10" s="344" t="s">
        <v>118</v>
      </c>
    </row>
    <row r="11" ht="114.75" hidden="1" spans="1:10">
      <c r="A11" s="298"/>
      <c r="B11" s="299" t="s">
        <v>119</v>
      </c>
      <c r="C11" s="300" t="s">
        <v>120</v>
      </c>
      <c r="D11" s="258" t="s">
        <v>121</v>
      </c>
      <c r="E11" s="301">
        <v>30</v>
      </c>
      <c r="F11" s="302">
        <f t="shared" si="0"/>
        <v>36.96</v>
      </c>
      <c r="G11" s="303" t="s">
        <v>69</v>
      </c>
      <c r="H11" s="234" t="s">
        <v>122</v>
      </c>
      <c r="I11" s="347"/>
      <c r="J11" s="348" t="s">
        <v>123</v>
      </c>
    </row>
    <row r="12" ht="14.25" spans="1:10">
      <c r="A12" s="222" t="s">
        <v>124</v>
      </c>
      <c r="B12" s="304" t="s">
        <v>125</v>
      </c>
      <c r="C12" s="305"/>
      <c r="D12" s="223" t="s">
        <v>126</v>
      </c>
      <c r="E12" s="224">
        <v>500</v>
      </c>
      <c r="F12" s="306">
        <f t="shared" ref="F12:F30" si="3">E12*1.276</f>
        <v>638</v>
      </c>
      <c r="G12" s="307">
        <f>100*1.276</f>
        <v>127.6</v>
      </c>
      <c r="H12" s="305"/>
      <c r="I12" s="349"/>
      <c r="J12" s="350"/>
    </row>
    <row r="13" ht="14.25" spans="1:10">
      <c r="A13" s="251"/>
      <c r="B13" s="293" t="s">
        <v>127</v>
      </c>
      <c r="C13" s="308"/>
      <c r="D13" s="200" t="s">
        <v>126</v>
      </c>
      <c r="E13" s="229">
        <v>650</v>
      </c>
      <c r="F13" s="295">
        <f t="shared" si="3"/>
        <v>829.4</v>
      </c>
      <c r="G13" s="243">
        <f>100*1.276</f>
        <v>127.6</v>
      </c>
      <c r="H13" s="309"/>
      <c r="I13" s="311"/>
      <c r="J13" s="351"/>
    </row>
    <row r="14" ht="14.25" spans="1:10">
      <c r="A14" s="251"/>
      <c r="B14" s="293" t="s">
        <v>128</v>
      </c>
      <c r="C14" s="308"/>
      <c r="D14" s="200" t="s">
        <v>126</v>
      </c>
      <c r="E14" s="229">
        <v>350</v>
      </c>
      <c r="F14" s="295">
        <f t="shared" si="3"/>
        <v>446.6</v>
      </c>
      <c r="G14" s="243">
        <f>100*1.276</f>
        <v>127.6</v>
      </c>
      <c r="H14" s="310"/>
      <c r="I14" s="311"/>
      <c r="J14" s="351"/>
    </row>
    <row r="15" ht="14.25" spans="1:11">
      <c r="A15" s="251"/>
      <c r="B15" s="293" t="s">
        <v>129</v>
      </c>
      <c r="C15" s="308"/>
      <c r="D15" s="200" t="s">
        <v>93</v>
      </c>
      <c r="E15" s="229">
        <v>2000</v>
      </c>
      <c r="F15" s="295">
        <f t="shared" si="3"/>
        <v>2552</v>
      </c>
      <c r="G15" s="243">
        <f>500*1.276</f>
        <v>638</v>
      </c>
      <c r="H15" s="310"/>
      <c r="I15" s="311"/>
      <c r="J15" s="351"/>
      <c r="K15" s="346"/>
    </row>
    <row r="16" ht="14.25" spans="1:10">
      <c r="A16" s="251"/>
      <c r="B16" s="293" t="s">
        <v>130</v>
      </c>
      <c r="C16" s="308"/>
      <c r="D16" s="311" t="s">
        <v>93</v>
      </c>
      <c r="E16" s="229">
        <v>800</v>
      </c>
      <c r="F16" s="295">
        <f t="shared" si="3"/>
        <v>1020.8</v>
      </c>
      <c r="G16" s="243">
        <f>200*1.276</f>
        <v>255.2</v>
      </c>
      <c r="H16" s="310"/>
      <c r="I16" s="311"/>
      <c r="J16" s="351"/>
    </row>
    <row r="17" ht="14.25" spans="1:10">
      <c r="A17" s="251"/>
      <c r="B17" s="293" t="s">
        <v>131</v>
      </c>
      <c r="C17" s="308"/>
      <c r="D17" s="311" t="s">
        <v>93</v>
      </c>
      <c r="E17" s="229">
        <v>1400</v>
      </c>
      <c r="F17" s="229">
        <f t="shared" si="3"/>
        <v>1786.4</v>
      </c>
      <c r="G17" s="243">
        <f t="shared" ref="G17:G18" si="4">200*1.276</f>
        <v>255.2</v>
      </c>
      <c r="H17" s="310"/>
      <c r="I17" s="311"/>
      <c r="J17" s="351"/>
    </row>
    <row r="18" ht="15" spans="1:10">
      <c r="A18" s="257"/>
      <c r="B18" s="312" t="s">
        <v>132</v>
      </c>
      <c r="C18" s="313"/>
      <c r="D18" s="314" t="s">
        <v>126</v>
      </c>
      <c r="E18" s="235">
        <v>800</v>
      </c>
      <c r="F18" s="235">
        <f t="shared" si="3"/>
        <v>1020.8</v>
      </c>
      <c r="G18" s="243">
        <f t="shared" si="4"/>
        <v>255.2</v>
      </c>
      <c r="H18" s="315"/>
      <c r="I18" s="314"/>
      <c r="J18" s="352"/>
    </row>
    <row r="19" ht="14.25" spans="1:10">
      <c r="A19" s="263" t="s">
        <v>133</v>
      </c>
      <c r="B19" s="316" t="s">
        <v>134</v>
      </c>
      <c r="C19" s="223" t="s">
        <v>92</v>
      </c>
      <c r="D19" s="223" t="s">
        <v>135</v>
      </c>
      <c r="E19" s="317">
        <v>55</v>
      </c>
      <c r="F19" s="318">
        <f t="shared" si="3"/>
        <v>70.18</v>
      </c>
      <c r="G19" s="319" t="s">
        <v>69</v>
      </c>
      <c r="H19" s="320" t="s">
        <v>136</v>
      </c>
      <c r="I19" s="349"/>
      <c r="J19" s="353"/>
    </row>
    <row r="20" ht="14.25" spans="1:10">
      <c r="A20" s="270"/>
      <c r="B20" s="297" t="s">
        <v>137</v>
      </c>
      <c r="C20" s="200" t="s">
        <v>92</v>
      </c>
      <c r="D20" s="200" t="s">
        <v>135</v>
      </c>
      <c r="E20" s="321">
        <v>80</v>
      </c>
      <c r="F20" s="322">
        <f t="shared" si="3"/>
        <v>102.08</v>
      </c>
      <c r="G20" s="321" t="s">
        <v>69</v>
      </c>
      <c r="H20" s="200" t="s">
        <v>138</v>
      </c>
      <c r="I20" s="311"/>
      <c r="J20" s="354"/>
    </row>
    <row r="21" ht="14.25" spans="1:10">
      <c r="A21" s="270"/>
      <c r="B21" s="297" t="s">
        <v>139</v>
      </c>
      <c r="C21" s="200" t="s">
        <v>103</v>
      </c>
      <c r="D21" s="200" t="s">
        <v>135</v>
      </c>
      <c r="E21" s="321">
        <v>100</v>
      </c>
      <c r="F21" s="321">
        <f t="shared" si="3"/>
        <v>127.6</v>
      </c>
      <c r="G21" s="321" t="s">
        <v>69</v>
      </c>
      <c r="H21" s="200" t="s">
        <v>138</v>
      </c>
      <c r="I21" s="311"/>
      <c r="J21" s="354"/>
    </row>
    <row r="22" ht="14.25" spans="1:10">
      <c r="A22" s="270"/>
      <c r="B22" s="297" t="s">
        <v>140</v>
      </c>
      <c r="C22" s="200" t="s">
        <v>141</v>
      </c>
      <c r="D22" s="200" t="s">
        <v>135</v>
      </c>
      <c r="E22" s="321">
        <v>35</v>
      </c>
      <c r="F22" s="321">
        <f t="shared" si="3"/>
        <v>44.66</v>
      </c>
      <c r="G22" s="321" t="s">
        <v>69</v>
      </c>
      <c r="H22" s="200" t="s">
        <v>142</v>
      </c>
      <c r="I22" s="311"/>
      <c r="J22" s="354"/>
    </row>
    <row r="23" ht="14.25" spans="1:10">
      <c r="A23" s="270"/>
      <c r="B23" s="297" t="s">
        <v>143</v>
      </c>
      <c r="C23" s="200" t="s">
        <v>144</v>
      </c>
      <c r="D23" s="200" t="s">
        <v>135</v>
      </c>
      <c r="E23" s="321">
        <v>35</v>
      </c>
      <c r="F23" s="321">
        <f t="shared" si="3"/>
        <v>44.66</v>
      </c>
      <c r="G23" s="321" t="s">
        <v>69</v>
      </c>
      <c r="H23" s="200" t="s">
        <v>142</v>
      </c>
      <c r="I23" s="311"/>
      <c r="J23" s="354"/>
    </row>
    <row r="24" ht="14.25" spans="1:10">
      <c r="A24" s="270"/>
      <c r="B24" s="323" t="s">
        <v>145</v>
      </c>
      <c r="C24" s="324" t="s">
        <v>146</v>
      </c>
      <c r="D24" s="324" t="s">
        <v>135</v>
      </c>
      <c r="E24" s="325">
        <v>95</v>
      </c>
      <c r="F24" s="325">
        <f t="shared" si="3"/>
        <v>121.22</v>
      </c>
      <c r="G24" s="321" t="s">
        <v>69</v>
      </c>
      <c r="H24" s="324" t="s">
        <v>147</v>
      </c>
      <c r="I24" s="355"/>
      <c r="J24" s="356"/>
    </row>
    <row r="25" ht="14.25" spans="1:10">
      <c r="A25" s="270"/>
      <c r="B25" s="323" t="s">
        <v>148</v>
      </c>
      <c r="C25" s="324" t="s">
        <v>149</v>
      </c>
      <c r="D25" s="324" t="s">
        <v>150</v>
      </c>
      <c r="E25" s="325">
        <v>65</v>
      </c>
      <c r="F25" s="325">
        <f t="shared" si="3"/>
        <v>82.94</v>
      </c>
      <c r="G25" s="325" t="s">
        <v>69</v>
      </c>
      <c r="H25" s="324" t="s">
        <v>151</v>
      </c>
      <c r="I25" s="355"/>
      <c r="J25" s="356"/>
    </row>
    <row r="26" ht="15" spans="1:10">
      <c r="A26" s="270"/>
      <c r="B26" s="323" t="s">
        <v>152</v>
      </c>
      <c r="C26" s="324" t="s">
        <v>120</v>
      </c>
      <c r="D26" s="324" t="s">
        <v>150</v>
      </c>
      <c r="E26" s="326">
        <v>65</v>
      </c>
      <c r="F26" s="325">
        <f t="shared" si="3"/>
        <v>82.94</v>
      </c>
      <c r="G26" s="325" t="s">
        <v>69</v>
      </c>
      <c r="H26" s="324" t="s">
        <v>153</v>
      </c>
      <c r="I26" s="355"/>
      <c r="J26" s="356"/>
    </row>
    <row r="27" ht="14.25" spans="1:10">
      <c r="A27" s="327" t="s">
        <v>154</v>
      </c>
      <c r="B27" s="223" t="s">
        <v>155</v>
      </c>
      <c r="C27" s="328" t="s">
        <v>156</v>
      </c>
      <c r="D27" s="304" t="s">
        <v>157</v>
      </c>
      <c r="E27" s="319">
        <v>70</v>
      </c>
      <c r="F27" s="329">
        <f t="shared" si="3"/>
        <v>89.32</v>
      </c>
      <c r="G27" s="330" t="s">
        <v>69</v>
      </c>
      <c r="H27" s="227"/>
      <c r="I27" s="349"/>
      <c r="J27" s="227"/>
    </row>
    <row r="28" ht="14.25" spans="1:10">
      <c r="A28" s="331"/>
      <c r="B28" s="252" t="s">
        <v>158</v>
      </c>
      <c r="C28" s="332" t="s">
        <v>156</v>
      </c>
      <c r="D28" s="297" t="s">
        <v>159</v>
      </c>
      <c r="E28" s="321">
        <v>60</v>
      </c>
      <c r="F28" s="333">
        <f t="shared" si="3"/>
        <v>76.56</v>
      </c>
      <c r="G28" s="334" t="s">
        <v>69</v>
      </c>
      <c r="H28" s="232"/>
      <c r="I28" s="311"/>
      <c r="J28" s="232"/>
    </row>
    <row r="29" ht="14.25" spans="1:10">
      <c r="A29" s="331"/>
      <c r="B29" s="274" t="s">
        <v>160</v>
      </c>
      <c r="C29" s="332" t="s">
        <v>156</v>
      </c>
      <c r="D29" s="297" t="s">
        <v>159</v>
      </c>
      <c r="E29" s="325">
        <v>80</v>
      </c>
      <c r="F29" s="335">
        <f t="shared" si="3"/>
        <v>102.08</v>
      </c>
      <c r="G29" s="334" t="s">
        <v>69</v>
      </c>
      <c r="H29" s="336"/>
      <c r="I29" s="355"/>
      <c r="J29" s="336"/>
    </row>
    <row r="30" ht="15" spans="1:10">
      <c r="A30" s="337"/>
      <c r="B30" s="234" t="s">
        <v>161</v>
      </c>
      <c r="C30" s="338" t="s">
        <v>156</v>
      </c>
      <c r="D30" s="339" t="s">
        <v>159</v>
      </c>
      <c r="E30" s="301">
        <v>60</v>
      </c>
      <c r="F30" s="302">
        <f t="shared" si="3"/>
        <v>76.56</v>
      </c>
      <c r="G30" s="340" t="s">
        <v>69</v>
      </c>
      <c r="H30" s="238"/>
      <c r="I30" s="314"/>
      <c r="J30" s="238"/>
    </row>
  </sheetData>
  <sheetProtection algorithmName="SHA-512" hashValue="NkiWvD3O3vBfxzIa8Jijl22DpXwx0yHbuvmFy6GUpG+bPkp/hiZJ2QauwHCL2Z4dcnUoDBjNx7pzxF7pjWnh3w==" saltValue="rbnwPop3I7sf0vnN6rAYVw==" spinCount="100000" sheet="1" objects="1" scenarios="1"/>
  <mergeCells count="4">
    <mergeCell ref="A2:A11"/>
    <mergeCell ref="A12:A18"/>
    <mergeCell ref="A19:A26"/>
    <mergeCell ref="A27:A30"/>
  </mergeCells>
  <pageMargins left="0.7" right="0.7" top="0.75" bottom="0.75" header="0.3" footer="0.3"/>
  <pageSetup paperSize="9" scale="92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workbookViewId="0">
      <pane ySplit="1" topLeftCell="A5" activePane="bottomLeft" state="frozen"/>
      <selection/>
      <selection pane="bottomLeft" activeCell="C8" sqref="C8"/>
    </sheetView>
  </sheetViews>
  <sheetFormatPr defaultColWidth="9" defaultRowHeight="12.75" outlineLevelCol="6"/>
  <cols>
    <col min="1" max="1" width="23.4285714285714" customWidth="1"/>
    <col min="2" max="2" width="34.7142857142857" customWidth="1"/>
    <col min="3" max="3" width="15.8571428571429" hidden="1" customWidth="1"/>
    <col min="4" max="4" width="18.7142857142857" customWidth="1"/>
    <col min="5" max="5" width="14.1428571428571" style="218" customWidth="1"/>
    <col min="6" max="6" width="20.1428571428571" customWidth="1"/>
    <col min="7" max="7" width="39.5714285714286" customWidth="1"/>
  </cols>
  <sheetData>
    <row r="1" ht="56.25" customHeight="1" spans="1:7">
      <c r="A1" s="219" t="s">
        <v>59</v>
      </c>
      <c r="B1" s="220" t="s">
        <v>162</v>
      </c>
      <c r="C1" s="220" t="s">
        <v>61</v>
      </c>
      <c r="D1" s="220" t="s">
        <v>163</v>
      </c>
      <c r="E1" s="220" t="s">
        <v>65</v>
      </c>
      <c r="F1" s="220" t="s">
        <v>84</v>
      </c>
      <c r="G1" s="221" t="s">
        <v>63</v>
      </c>
    </row>
    <row r="2" ht="14.25" hidden="1" spans="1:7">
      <c r="A2" s="222" t="s">
        <v>164</v>
      </c>
      <c r="B2" s="223" t="s">
        <v>165</v>
      </c>
      <c r="C2" s="224"/>
      <c r="D2" s="225">
        <v>50</v>
      </c>
      <c r="E2" s="226" t="s">
        <v>166</v>
      </c>
      <c r="F2" s="226" t="s">
        <v>167</v>
      </c>
      <c r="G2" s="227" t="s">
        <v>168</v>
      </c>
    </row>
    <row r="3" ht="14.25" hidden="1" spans="1:7">
      <c r="A3" s="228"/>
      <c r="B3" s="200" t="s">
        <v>169</v>
      </c>
      <c r="C3" s="229"/>
      <c r="D3" s="230">
        <v>62</v>
      </c>
      <c r="E3" s="231" t="s">
        <v>166</v>
      </c>
      <c r="F3" s="231" t="s">
        <v>167</v>
      </c>
      <c r="G3" s="232" t="s">
        <v>168</v>
      </c>
    </row>
    <row r="4" ht="15" hidden="1" spans="1:7">
      <c r="A4" s="233"/>
      <c r="B4" s="234" t="s">
        <v>170</v>
      </c>
      <c r="C4" s="235"/>
      <c r="D4" s="236">
        <v>74</v>
      </c>
      <c r="E4" s="237" t="s">
        <v>166</v>
      </c>
      <c r="F4" s="237" t="s">
        <v>167</v>
      </c>
      <c r="G4" s="238" t="s">
        <v>168</v>
      </c>
    </row>
    <row r="5" ht="14.25" spans="1:7">
      <c r="A5" s="239" t="s">
        <v>171</v>
      </c>
      <c r="B5" s="223" t="s">
        <v>172</v>
      </c>
      <c r="C5" s="224">
        <v>150</v>
      </c>
      <c r="D5" s="240">
        <f>C5*1.276</f>
        <v>191.4</v>
      </c>
      <c r="E5" s="226">
        <v>10</v>
      </c>
      <c r="F5" s="226" t="s">
        <v>120</v>
      </c>
      <c r="G5" s="227"/>
    </row>
    <row r="6" ht="14.25" hidden="1" spans="1:7">
      <c r="A6" s="241"/>
      <c r="B6" s="200" t="s">
        <v>173</v>
      </c>
      <c r="C6" s="229"/>
      <c r="D6" s="242">
        <v>148</v>
      </c>
      <c r="E6" s="231">
        <v>10</v>
      </c>
      <c r="F6" s="231" t="s">
        <v>120</v>
      </c>
      <c r="G6" s="232"/>
    </row>
    <row r="7" ht="14.25" spans="1:7">
      <c r="A7" s="241"/>
      <c r="B7" s="200" t="s">
        <v>174</v>
      </c>
      <c r="C7" s="229">
        <v>120</v>
      </c>
      <c r="D7" s="243">
        <f>C7*1.276</f>
        <v>153.12</v>
      </c>
      <c r="E7" s="231">
        <v>30</v>
      </c>
      <c r="F7" s="231" t="s">
        <v>120</v>
      </c>
      <c r="G7" s="232"/>
    </row>
    <row r="8" ht="14.25" spans="1:7">
      <c r="A8" s="241"/>
      <c r="B8" s="200" t="s">
        <v>175</v>
      </c>
      <c r="C8" s="229">
        <v>90</v>
      </c>
      <c r="D8" s="243">
        <f t="shared" ref="D8:D14" si="0">C8*1.276</f>
        <v>114.84</v>
      </c>
      <c r="E8" s="231">
        <v>30</v>
      </c>
      <c r="F8" s="231" t="s">
        <v>120</v>
      </c>
      <c r="G8" s="232"/>
    </row>
    <row r="9" ht="14.25" spans="1:7">
      <c r="A9" s="241"/>
      <c r="B9" s="200" t="s">
        <v>176</v>
      </c>
      <c r="C9" s="229">
        <v>90</v>
      </c>
      <c r="D9" s="243">
        <f t="shared" si="0"/>
        <v>114.84</v>
      </c>
      <c r="E9" s="231">
        <v>30</v>
      </c>
      <c r="F9" s="231" t="s">
        <v>120</v>
      </c>
      <c r="G9" s="232"/>
    </row>
    <row r="10" ht="14.25" spans="1:7">
      <c r="A10" s="241"/>
      <c r="B10" s="200" t="s">
        <v>177</v>
      </c>
      <c r="C10" s="229">
        <v>100</v>
      </c>
      <c r="D10" s="243">
        <f t="shared" si="0"/>
        <v>127.6</v>
      </c>
      <c r="E10" s="231">
        <v>30</v>
      </c>
      <c r="F10" s="231" t="s">
        <v>120</v>
      </c>
      <c r="G10" s="232"/>
    </row>
    <row r="11" ht="14.25" spans="1:7">
      <c r="A11" s="241"/>
      <c r="B11" s="200" t="s">
        <v>178</v>
      </c>
      <c r="C11" s="229">
        <v>90</v>
      </c>
      <c r="D11" s="243">
        <f t="shared" si="0"/>
        <v>114.84</v>
      </c>
      <c r="E11" s="231">
        <v>30</v>
      </c>
      <c r="F11" s="231" t="s">
        <v>120</v>
      </c>
      <c r="G11" s="232"/>
    </row>
    <row r="12" ht="14.25" spans="1:7">
      <c r="A12" s="241"/>
      <c r="B12" s="200" t="s">
        <v>179</v>
      </c>
      <c r="C12" s="229">
        <v>120</v>
      </c>
      <c r="D12" s="243">
        <f t="shared" si="0"/>
        <v>153.12</v>
      </c>
      <c r="E12" s="231">
        <v>30</v>
      </c>
      <c r="F12" s="231" t="s">
        <v>120</v>
      </c>
      <c r="G12" s="232"/>
    </row>
    <row r="13" ht="14.25" spans="1:7">
      <c r="A13" s="241"/>
      <c r="B13" s="200" t="s">
        <v>180</v>
      </c>
      <c r="C13" s="229">
        <v>135</v>
      </c>
      <c r="D13" s="243">
        <f t="shared" si="0"/>
        <v>172.26</v>
      </c>
      <c r="E13" s="231">
        <v>30</v>
      </c>
      <c r="F13" s="231" t="s">
        <v>120</v>
      </c>
      <c r="G13" s="232"/>
    </row>
    <row r="14" ht="15" spans="1:7">
      <c r="A14" s="244"/>
      <c r="B14" s="234" t="s">
        <v>181</v>
      </c>
      <c r="C14" s="229">
        <v>120</v>
      </c>
      <c r="D14" s="243">
        <f t="shared" si="0"/>
        <v>153.12</v>
      </c>
      <c r="E14" s="237">
        <v>30</v>
      </c>
      <c r="F14" s="237" t="s">
        <v>120</v>
      </c>
      <c r="G14" s="238"/>
    </row>
    <row r="15" ht="14.25" hidden="1" spans="1:7">
      <c r="A15" s="239" t="s">
        <v>182</v>
      </c>
      <c r="B15" s="223" t="s">
        <v>183</v>
      </c>
      <c r="C15" s="229">
        <f t="shared" ref="C15:C17" si="1">D15/1.232</f>
        <v>120.12987012987</v>
      </c>
      <c r="D15" s="225">
        <v>148</v>
      </c>
      <c r="E15" s="226">
        <v>30</v>
      </c>
      <c r="F15" s="226" t="s">
        <v>184</v>
      </c>
      <c r="G15" s="227"/>
    </row>
    <row r="16" ht="14.25" hidden="1" spans="1:7">
      <c r="A16" s="241"/>
      <c r="B16" s="200" t="s">
        <v>185</v>
      </c>
      <c r="C16" s="229">
        <f t="shared" si="1"/>
        <v>120.12987012987</v>
      </c>
      <c r="D16" s="230">
        <v>148</v>
      </c>
      <c r="E16" s="231">
        <v>30</v>
      </c>
      <c r="F16" s="231" t="s">
        <v>186</v>
      </c>
      <c r="G16" s="232"/>
    </row>
    <row r="17" ht="0.75" customHeight="1" spans="1:7">
      <c r="A17" s="244"/>
      <c r="B17" s="234" t="s">
        <v>187</v>
      </c>
      <c r="C17" s="229">
        <f t="shared" si="1"/>
        <v>120.12987012987</v>
      </c>
      <c r="D17" s="236">
        <v>148</v>
      </c>
      <c r="E17" s="237">
        <v>30</v>
      </c>
      <c r="F17" s="237" t="s">
        <v>188</v>
      </c>
      <c r="G17" s="238"/>
    </row>
    <row r="18" ht="14.25" hidden="1" spans="1:7">
      <c r="A18" s="245" t="s">
        <v>189</v>
      </c>
      <c r="B18" s="246" t="s">
        <v>190</v>
      </c>
      <c r="C18" s="247"/>
      <c r="D18" s="248">
        <v>185</v>
      </c>
      <c r="E18" s="249" t="s">
        <v>191</v>
      </c>
      <c r="F18" s="249" t="s">
        <v>120</v>
      </c>
      <c r="G18" s="250"/>
    </row>
    <row r="19" ht="14.25" hidden="1" spans="1:7">
      <c r="A19" s="251"/>
      <c r="B19" s="252" t="s">
        <v>192</v>
      </c>
      <c r="C19" s="253"/>
      <c r="D19" s="254">
        <v>210</v>
      </c>
      <c r="E19" s="255" t="s">
        <v>191</v>
      </c>
      <c r="F19" s="255" t="s">
        <v>120</v>
      </c>
      <c r="G19" s="256"/>
    </row>
    <row r="20" ht="15" hidden="1" spans="1:7">
      <c r="A20" s="257"/>
      <c r="B20" s="258" t="s">
        <v>193</v>
      </c>
      <c r="C20" s="259"/>
      <c r="D20" s="260">
        <v>259</v>
      </c>
      <c r="E20" s="261" t="s">
        <v>191</v>
      </c>
      <c r="F20" s="261" t="s">
        <v>120</v>
      </c>
      <c r="G20" s="262"/>
    </row>
    <row r="21" ht="14.25" spans="1:7">
      <c r="A21" s="263" t="s">
        <v>194</v>
      </c>
      <c r="B21" s="264" t="s">
        <v>195</v>
      </c>
      <c r="C21" s="265">
        <v>25</v>
      </c>
      <c r="D21" s="266">
        <f>C21*1.276</f>
        <v>31.9</v>
      </c>
      <c r="E21" s="267" t="s">
        <v>196</v>
      </c>
      <c r="F21" s="268"/>
      <c r="G21" s="269"/>
    </row>
    <row r="22" ht="14.25" spans="1:7">
      <c r="A22" s="270"/>
      <c r="B22" s="252" t="s">
        <v>197</v>
      </c>
      <c r="C22" s="253">
        <v>30</v>
      </c>
      <c r="D22" s="271">
        <f>C22*1.276</f>
        <v>38.28</v>
      </c>
      <c r="E22" s="255" t="s">
        <v>196</v>
      </c>
      <c r="F22" s="272"/>
      <c r="G22" s="273"/>
    </row>
    <row r="23" ht="14.25" spans="1:7">
      <c r="A23" s="270"/>
      <c r="B23" s="274" t="s">
        <v>198</v>
      </c>
      <c r="C23" s="275">
        <v>20</v>
      </c>
      <c r="D23" s="271">
        <f t="shared" ref="D23:D25" si="2">C23*1.276</f>
        <v>25.52</v>
      </c>
      <c r="E23" s="276" t="s">
        <v>196</v>
      </c>
      <c r="F23" s="277"/>
      <c r="G23" s="278"/>
    </row>
    <row r="24" ht="15" spans="1:7">
      <c r="A24" s="270"/>
      <c r="B24" s="274" t="s">
        <v>199</v>
      </c>
      <c r="C24" s="275">
        <v>25</v>
      </c>
      <c r="D24" s="271">
        <f t="shared" si="2"/>
        <v>31.9</v>
      </c>
      <c r="E24" s="276" t="s">
        <v>200</v>
      </c>
      <c r="F24" s="277"/>
      <c r="G24" s="278"/>
    </row>
    <row r="25" ht="15" spans="1:7">
      <c r="A25" s="279" t="s">
        <v>201</v>
      </c>
      <c r="B25" s="280" t="s">
        <v>202</v>
      </c>
      <c r="C25" s="281">
        <v>20</v>
      </c>
      <c r="D25" s="282">
        <f t="shared" si="2"/>
        <v>25.52</v>
      </c>
      <c r="E25" s="283" t="s">
        <v>200</v>
      </c>
      <c r="F25" s="284"/>
      <c r="G25" s="285"/>
    </row>
    <row r="26" ht="42.75" spans="1:4">
      <c r="A26" s="286"/>
      <c r="B26" s="287" t="s">
        <v>203</v>
      </c>
      <c r="D26" s="288"/>
    </row>
  </sheetData>
  <sheetProtection algorithmName="SHA-512" hashValue="BwJy5uq+T7/TWC5Gg/TSQxJibGhF6HmMda+4Lxz+/d/KnoZPkFSBXIDdOav1CQYjao6NqW5Pf1DnHEC/lm9yMg==" saltValue="YfHu3jA4N9BsRspwE7Bglg==" spinCount="100000" sheet="1" objects="1" scenarios="1"/>
  <mergeCells count="5">
    <mergeCell ref="A2:A4"/>
    <mergeCell ref="A5:A14"/>
    <mergeCell ref="A15:A17"/>
    <mergeCell ref="A18:A20"/>
    <mergeCell ref="A21:A2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0"/>
  <sheetViews>
    <sheetView showGridLines="0" workbookViewId="0">
      <selection activeCell="B27" sqref="B27"/>
    </sheetView>
  </sheetViews>
  <sheetFormatPr defaultColWidth="9" defaultRowHeight="12.75" outlineLevelCol="5"/>
  <cols>
    <col min="1" max="1" width="30" customWidth="1"/>
    <col min="2" max="2" width="29.1428571428571" style="195" customWidth="1"/>
    <col min="3" max="3" width="25.2857142857143" style="195" customWidth="1"/>
    <col min="4" max="4" width="23.7142857142857" style="195" customWidth="1"/>
    <col min="5" max="5" width="22.5714285714286" style="195" customWidth="1"/>
    <col min="6" max="6" width="23" customWidth="1"/>
  </cols>
  <sheetData>
    <row r="1" ht="54.75" customHeight="1" spans="1:5">
      <c r="A1" s="196" t="s">
        <v>204</v>
      </c>
      <c r="B1" s="197" t="s">
        <v>205</v>
      </c>
      <c r="C1" s="198" t="s">
        <v>206</v>
      </c>
      <c r="D1" s="197" t="s">
        <v>207</v>
      </c>
      <c r="E1" s="197" t="s">
        <v>208</v>
      </c>
    </row>
    <row r="2" ht="21.75" customHeight="1" spans="1:5">
      <c r="A2" s="199" t="s">
        <v>85</v>
      </c>
      <c r="B2" s="200" t="s">
        <v>209</v>
      </c>
      <c r="C2" s="200" t="s">
        <v>209</v>
      </c>
      <c r="D2" s="200" t="s">
        <v>209</v>
      </c>
      <c r="E2" s="200" t="s">
        <v>209</v>
      </c>
    </row>
    <row r="3" ht="24.75" customHeight="1" spans="1:5">
      <c r="A3" s="199" t="s">
        <v>210</v>
      </c>
      <c r="B3" s="200" t="s">
        <v>211</v>
      </c>
      <c r="C3" s="200" t="s">
        <v>211</v>
      </c>
      <c r="D3" s="200" t="s">
        <v>211</v>
      </c>
      <c r="E3" s="200" t="s">
        <v>211</v>
      </c>
    </row>
    <row r="4" ht="43.5" hidden="1" customHeight="1" spans="1:5">
      <c r="A4" s="199" t="s">
        <v>61</v>
      </c>
      <c r="B4" s="201">
        <v>62</v>
      </c>
      <c r="C4" s="201">
        <v>77</v>
      </c>
      <c r="D4" s="201">
        <v>110</v>
      </c>
      <c r="E4" s="201">
        <v>150</v>
      </c>
    </row>
    <row r="5" ht="28.5" spans="1:5">
      <c r="A5" s="202" t="s">
        <v>212</v>
      </c>
      <c r="B5" s="203">
        <f>B4*1.276</f>
        <v>79.112</v>
      </c>
      <c r="C5" s="203">
        <f>C4*1.276</f>
        <v>98.252</v>
      </c>
      <c r="D5" s="203">
        <f>D4*1.276</f>
        <v>140.36</v>
      </c>
      <c r="E5" s="203">
        <f>E4*1.276</f>
        <v>191.4</v>
      </c>
    </row>
    <row r="6" ht="14.25" hidden="1" spans="1:5">
      <c r="A6" s="199" t="s">
        <v>213</v>
      </c>
      <c r="B6" s="204">
        <v>24.59</v>
      </c>
      <c r="C6" s="204">
        <v>36.89</v>
      </c>
      <c r="D6" s="204">
        <v>45.08</v>
      </c>
      <c r="E6" s="204">
        <v>57.38</v>
      </c>
    </row>
    <row r="7" ht="27" customHeight="1" spans="1:5">
      <c r="A7" s="199" t="s">
        <v>214</v>
      </c>
      <c r="B7" s="203">
        <f>31*1.276</f>
        <v>39.556</v>
      </c>
      <c r="C7" s="203">
        <f>38*1.276</f>
        <v>48.488</v>
      </c>
      <c r="D7" s="203">
        <f>55*1.276</f>
        <v>70.18</v>
      </c>
      <c r="E7" s="203">
        <f>75*1.276</f>
        <v>95.7</v>
      </c>
    </row>
    <row r="8" ht="25.5" spans="2:5">
      <c r="B8" s="205" t="s">
        <v>215</v>
      </c>
      <c r="C8" s="205" t="s">
        <v>215</v>
      </c>
      <c r="D8" s="206" t="s">
        <v>216</v>
      </c>
      <c r="E8" s="206" t="s">
        <v>216</v>
      </c>
    </row>
    <row r="9" spans="2:5">
      <c r="B9" s="207" t="s">
        <v>217</v>
      </c>
      <c r="C9" s="208" t="s">
        <v>217</v>
      </c>
      <c r="D9" s="209" t="s">
        <v>218</v>
      </c>
      <c r="E9" s="209" t="s">
        <v>218</v>
      </c>
    </row>
    <row r="10" spans="2:5">
      <c r="B10" s="207" t="s">
        <v>219</v>
      </c>
      <c r="C10" s="210" t="s">
        <v>220</v>
      </c>
      <c r="D10" s="211" t="s">
        <v>221</v>
      </c>
      <c r="E10" s="211" t="s">
        <v>221</v>
      </c>
    </row>
    <row r="11" spans="2:5">
      <c r="B11" s="207" t="s">
        <v>222</v>
      </c>
      <c r="C11" s="210" t="s">
        <v>223</v>
      </c>
      <c r="D11" s="211" t="s">
        <v>224</v>
      </c>
      <c r="E11" s="211" t="s">
        <v>224</v>
      </c>
    </row>
    <row r="12" spans="2:5">
      <c r="B12" s="207" t="s">
        <v>225</v>
      </c>
      <c r="C12" s="210"/>
      <c r="D12" s="212"/>
      <c r="E12" s="211"/>
    </row>
    <row r="13" spans="2:5">
      <c r="B13" s="207"/>
      <c r="C13" s="208" t="s">
        <v>219</v>
      </c>
      <c r="D13" s="212" t="s">
        <v>217</v>
      </c>
      <c r="E13" s="212" t="s">
        <v>217</v>
      </c>
    </row>
    <row r="14" spans="2:5">
      <c r="B14" s="213" t="s">
        <v>226</v>
      </c>
      <c r="C14" s="210" t="s">
        <v>227</v>
      </c>
      <c r="D14" s="214" t="s">
        <v>228</v>
      </c>
      <c r="E14" s="214" t="s">
        <v>228</v>
      </c>
    </row>
    <row r="15" spans="2:5">
      <c r="B15" s="210" t="s">
        <v>229</v>
      </c>
      <c r="C15" s="210" t="s">
        <v>230</v>
      </c>
      <c r="D15" s="214" t="s">
        <v>231</v>
      </c>
      <c r="E15" s="214" t="s">
        <v>231</v>
      </c>
    </row>
    <row r="16" spans="2:5">
      <c r="B16" s="207" t="s">
        <v>232</v>
      </c>
      <c r="C16" s="208"/>
      <c r="D16" s="214" t="s">
        <v>233</v>
      </c>
      <c r="E16" s="214" t="s">
        <v>233</v>
      </c>
    </row>
    <row r="17" spans="2:5">
      <c r="B17" s="207" t="s">
        <v>234</v>
      </c>
      <c r="C17" s="208" t="s">
        <v>235</v>
      </c>
      <c r="D17" s="214"/>
      <c r="E17" s="211"/>
    </row>
    <row r="18" spans="2:5">
      <c r="B18" s="213" t="s">
        <v>236</v>
      </c>
      <c r="C18" s="207" t="s">
        <v>237</v>
      </c>
      <c r="D18" s="212" t="s">
        <v>219</v>
      </c>
      <c r="E18" s="212" t="s">
        <v>219</v>
      </c>
    </row>
    <row r="19" spans="2:5">
      <c r="B19" s="207" t="s">
        <v>238</v>
      </c>
      <c r="C19" s="207" t="s">
        <v>239</v>
      </c>
      <c r="D19" s="214" t="s">
        <v>240</v>
      </c>
      <c r="E19" s="214" t="s">
        <v>240</v>
      </c>
    </row>
    <row r="20" spans="2:5">
      <c r="B20" s="207" t="s">
        <v>241</v>
      </c>
      <c r="C20" s="207"/>
      <c r="D20" s="214" t="s">
        <v>230</v>
      </c>
      <c r="E20" s="214" t="s">
        <v>230</v>
      </c>
    </row>
    <row r="21" spans="2:5">
      <c r="B21" s="207" t="s">
        <v>242</v>
      </c>
      <c r="C21" s="207"/>
      <c r="D21" s="214" t="s">
        <v>243</v>
      </c>
      <c r="E21" s="214" t="s">
        <v>243</v>
      </c>
    </row>
    <row r="22" spans="2:5">
      <c r="B22" s="207" t="s">
        <v>244</v>
      </c>
      <c r="C22" s="213" t="s">
        <v>225</v>
      </c>
      <c r="D22" s="212"/>
      <c r="E22" s="211"/>
    </row>
    <row r="23" spans="2:5">
      <c r="B23" s="207" t="s">
        <v>245</v>
      </c>
      <c r="C23" s="207" t="s">
        <v>246</v>
      </c>
      <c r="D23" s="212" t="s">
        <v>235</v>
      </c>
      <c r="E23" s="212" t="s">
        <v>235</v>
      </c>
    </row>
    <row r="24" spans="2:5">
      <c r="B24" s="207" t="s">
        <v>247</v>
      </c>
      <c r="C24" s="207" t="s">
        <v>248</v>
      </c>
      <c r="D24" s="211" t="s">
        <v>237</v>
      </c>
      <c r="E24" s="211" t="s">
        <v>237</v>
      </c>
    </row>
    <row r="25" spans="2:5">
      <c r="B25" s="207"/>
      <c r="C25" s="207"/>
      <c r="D25" s="211" t="s">
        <v>239</v>
      </c>
      <c r="E25" s="211" t="s">
        <v>239</v>
      </c>
    </row>
    <row r="26" spans="2:5">
      <c r="B26" s="213" t="s">
        <v>249</v>
      </c>
      <c r="C26" s="213" t="s">
        <v>250</v>
      </c>
      <c r="D26" s="211" t="s">
        <v>251</v>
      </c>
      <c r="E26" s="211" t="s">
        <v>251</v>
      </c>
    </row>
    <row r="27" spans="2:5">
      <c r="B27" s="207" t="s">
        <v>252</v>
      </c>
      <c r="C27" s="207" t="s">
        <v>253</v>
      </c>
      <c r="D27" s="211" t="s">
        <v>254</v>
      </c>
      <c r="E27" s="211" t="s">
        <v>254</v>
      </c>
    </row>
    <row r="28" spans="2:5">
      <c r="B28" s="207" t="s">
        <v>255</v>
      </c>
      <c r="C28" s="207"/>
      <c r="D28" s="211"/>
      <c r="E28" s="211"/>
    </row>
    <row r="29" spans="2:5">
      <c r="B29" s="207" t="s">
        <v>256</v>
      </c>
      <c r="C29" s="213" t="s">
        <v>257</v>
      </c>
      <c r="D29" s="209" t="s">
        <v>225</v>
      </c>
      <c r="E29" s="209" t="s">
        <v>225</v>
      </c>
    </row>
    <row r="30" spans="2:5">
      <c r="B30" s="207" t="s">
        <v>258</v>
      </c>
      <c r="C30" s="210" t="s">
        <v>259</v>
      </c>
      <c r="D30" s="211" t="s">
        <v>246</v>
      </c>
      <c r="E30" s="211" t="s">
        <v>246</v>
      </c>
    </row>
    <row r="31" spans="2:5">
      <c r="B31" s="207" t="s">
        <v>260</v>
      </c>
      <c r="C31" s="207" t="s">
        <v>261</v>
      </c>
      <c r="D31" s="211" t="s">
        <v>248</v>
      </c>
      <c r="E31" s="211" t="s">
        <v>248</v>
      </c>
    </row>
    <row r="32" spans="2:5">
      <c r="B32" s="207"/>
      <c r="C32" s="207"/>
      <c r="D32" s="211" t="s">
        <v>262</v>
      </c>
      <c r="E32" s="211" t="s">
        <v>262</v>
      </c>
    </row>
    <row r="33" spans="2:5">
      <c r="B33" s="213" t="s">
        <v>263</v>
      </c>
      <c r="C33" s="207"/>
      <c r="D33" s="211" t="s">
        <v>264</v>
      </c>
      <c r="E33" s="211" t="s">
        <v>264</v>
      </c>
    </row>
    <row r="34" spans="2:5">
      <c r="B34" s="207" t="s">
        <v>265</v>
      </c>
      <c r="C34" s="213" t="s">
        <v>236</v>
      </c>
      <c r="D34" s="211"/>
      <c r="E34" s="211"/>
    </row>
    <row r="35" spans="2:5">
      <c r="B35" s="207" t="s">
        <v>266</v>
      </c>
      <c r="C35" s="207" t="s">
        <v>238</v>
      </c>
      <c r="D35" s="209" t="s">
        <v>250</v>
      </c>
      <c r="E35" s="209" t="s">
        <v>250</v>
      </c>
    </row>
    <row r="36" spans="2:5">
      <c r="B36" s="207" t="s">
        <v>267</v>
      </c>
      <c r="C36" s="207" t="s">
        <v>241</v>
      </c>
      <c r="D36" s="211" t="s">
        <v>253</v>
      </c>
      <c r="E36" s="211" t="s">
        <v>253</v>
      </c>
    </row>
    <row r="37" spans="2:6">
      <c r="B37" s="207"/>
      <c r="C37" s="207" t="s">
        <v>242</v>
      </c>
      <c r="D37" s="212" t="s">
        <v>268</v>
      </c>
      <c r="E37" s="212" t="s">
        <v>268</v>
      </c>
      <c r="F37" s="94"/>
    </row>
    <row r="38" spans="2:6">
      <c r="B38" s="213" t="s">
        <v>269</v>
      </c>
      <c r="C38" s="207" t="s">
        <v>244</v>
      </c>
      <c r="D38" s="214" t="s">
        <v>270</v>
      </c>
      <c r="E38" s="214" t="s">
        <v>270</v>
      </c>
      <c r="F38" s="94"/>
    </row>
    <row r="39" spans="2:5">
      <c r="B39" s="215" t="s">
        <v>271</v>
      </c>
      <c r="C39" s="207" t="s">
        <v>245</v>
      </c>
      <c r="D39" s="211"/>
      <c r="E39" s="211"/>
    </row>
    <row r="40" spans="2:5">
      <c r="B40" s="216"/>
      <c r="C40" s="207" t="s">
        <v>247</v>
      </c>
      <c r="D40" s="209" t="s">
        <v>272</v>
      </c>
      <c r="E40" s="209" t="s">
        <v>272</v>
      </c>
    </row>
    <row r="41" spans="2:5">
      <c r="B41" s="216"/>
      <c r="C41" s="207"/>
      <c r="D41" s="214" t="s">
        <v>259</v>
      </c>
      <c r="E41" s="214" t="s">
        <v>259</v>
      </c>
    </row>
    <row r="42" spans="2:5">
      <c r="B42" s="216"/>
      <c r="C42" s="213" t="s">
        <v>249</v>
      </c>
      <c r="D42" s="211" t="s">
        <v>261</v>
      </c>
      <c r="E42" s="211" t="s">
        <v>261</v>
      </c>
    </row>
    <row r="43" spans="2:5">
      <c r="B43" s="216"/>
      <c r="C43" s="207" t="s">
        <v>252</v>
      </c>
      <c r="D43" s="211" t="s">
        <v>273</v>
      </c>
      <c r="E43" s="211" t="s">
        <v>274</v>
      </c>
    </row>
    <row r="44" spans="2:5">
      <c r="B44" s="216"/>
      <c r="C44" s="207" t="s">
        <v>255</v>
      </c>
      <c r="D44" s="211"/>
      <c r="E44" s="211"/>
    </row>
    <row r="45" spans="2:5">
      <c r="B45" s="216"/>
      <c r="C45" s="207" t="s">
        <v>256</v>
      </c>
      <c r="D45" s="211"/>
      <c r="E45" s="211"/>
    </row>
    <row r="46" spans="2:5">
      <c r="B46" s="216"/>
      <c r="C46" s="207" t="s">
        <v>258</v>
      </c>
      <c r="D46" s="209" t="s">
        <v>236</v>
      </c>
      <c r="E46" s="209" t="s">
        <v>236</v>
      </c>
    </row>
    <row r="47" spans="2:5">
      <c r="B47" s="216"/>
      <c r="C47" s="207" t="s">
        <v>260</v>
      </c>
      <c r="D47" s="211" t="s">
        <v>238</v>
      </c>
      <c r="E47" s="211" t="s">
        <v>238</v>
      </c>
    </row>
    <row r="48" spans="2:5">
      <c r="B48" s="216"/>
      <c r="C48" s="207"/>
      <c r="D48" s="211" t="s">
        <v>241</v>
      </c>
      <c r="E48" s="211" t="s">
        <v>241</v>
      </c>
    </row>
    <row r="49" spans="2:5">
      <c r="B49" s="216"/>
      <c r="C49" s="213" t="s">
        <v>275</v>
      </c>
      <c r="D49" s="211" t="s">
        <v>242</v>
      </c>
      <c r="E49" s="211" t="s">
        <v>242</v>
      </c>
    </row>
    <row r="50" spans="2:5">
      <c r="B50" s="216"/>
      <c r="C50" s="207" t="s">
        <v>276</v>
      </c>
      <c r="D50" s="211" t="s">
        <v>244</v>
      </c>
      <c r="E50" s="211" t="s">
        <v>244</v>
      </c>
    </row>
    <row r="51" spans="2:5">
      <c r="B51" s="216"/>
      <c r="C51" s="207" t="s">
        <v>265</v>
      </c>
      <c r="D51" s="211" t="s">
        <v>245</v>
      </c>
      <c r="E51" s="211" t="s">
        <v>245</v>
      </c>
    </row>
    <row r="52" spans="2:5">
      <c r="B52" s="216"/>
      <c r="C52" s="207" t="s">
        <v>266</v>
      </c>
      <c r="D52" s="211" t="s">
        <v>247</v>
      </c>
      <c r="E52" s="211" t="s">
        <v>247</v>
      </c>
    </row>
    <row r="53" spans="2:5">
      <c r="B53" s="216"/>
      <c r="C53" s="207" t="s">
        <v>267</v>
      </c>
      <c r="D53" s="211"/>
      <c r="E53" s="211"/>
    </row>
    <row r="54" spans="2:5">
      <c r="B54" s="216"/>
      <c r="C54" s="207"/>
      <c r="D54" s="209" t="s">
        <v>249</v>
      </c>
      <c r="E54" s="209" t="s">
        <v>249</v>
      </c>
    </row>
    <row r="55" spans="2:5">
      <c r="B55" s="216"/>
      <c r="C55" s="213" t="s">
        <v>269</v>
      </c>
      <c r="D55" s="211" t="s">
        <v>252</v>
      </c>
      <c r="E55" s="211" t="s">
        <v>252</v>
      </c>
    </row>
    <row r="56" spans="2:5">
      <c r="B56" s="216"/>
      <c r="C56" s="207" t="s">
        <v>277</v>
      </c>
      <c r="D56" s="211" t="s">
        <v>255</v>
      </c>
      <c r="E56" s="211" t="s">
        <v>255</v>
      </c>
    </row>
    <row r="57" spans="2:5">
      <c r="B57" s="216"/>
      <c r="C57" s="215" t="s">
        <v>278</v>
      </c>
      <c r="D57" s="211" t="s">
        <v>256</v>
      </c>
      <c r="E57" s="211" t="s">
        <v>256</v>
      </c>
    </row>
    <row r="58" spans="2:5">
      <c r="B58" s="216"/>
      <c r="C58" s="216"/>
      <c r="D58" s="211" t="s">
        <v>258</v>
      </c>
      <c r="E58" s="211" t="s">
        <v>258</v>
      </c>
    </row>
    <row r="59" spans="2:5">
      <c r="B59" s="216"/>
      <c r="C59" s="216"/>
      <c r="D59" s="211" t="s">
        <v>260</v>
      </c>
      <c r="E59" s="211" t="s">
        <v>260</v>
      </c>
    </row>
    <row r="60" spans="2:5">
      <c r="B60" s="216"/>
      <c r="C60" s="216"/>
      <c r="D60" s="211"/>
      <c r="E60" s="211"/>
    </row>
    <row r="61" spans="2:5">
      <c r="B61" s="216"/>
      <c r="C61" s="216"/>
      <c r="D61" s="209" t="s">
        <v>275</v>
      </c>
      <c r="E61" s="209" t="s">
        <v>275</v>
      </c>
    </row>
    <row r="62" spans="2:5">
      <c r="B62" s="216"/>
      <c r="C62" s="216"/>
      <c r="D62" s="211" t="s">
        <v>276</v>
      </c>
      <c r="E62" s="211" t="s">
        <v>279</v>
      </c>
    </row>
    <row r="63" spans="2:5">
      <c r="B63" s="216"/>
      <c r="C63" s="216"/>
      <c r="D63" s="211" t="s">
        <v>265</v>
      </c>
      <c r="E63" s="211" t="s">
        <v>276</v>
      </c>
    </row>
    <row r="64" spans="2:5">
      <c r="B64" s="216"/>
      <c r="C64" s="216"/>
      <c r="D64" s="211" t="s">
        <v>266</v>
      </c>
      <c r="E64" s="211" t="s">
        <v>265</v>
      </c>
    </row>
    <row r="65" spans="2:5">
      <c r="B65" s="216"/>
      <c r="C65" s="216"/>
      <c r="D65" s="211" t="s">
        <v>267</v>
      </c>
      <c r="E65" s="211" t="s">
        <v>266</v>
      </c>
    </row>
    <row r="66" spans="2:5">
      <c r="B66" s="216"/>
      <c r="C66" s="216"/>
      <c r="D66" s="211"/>
      <c r="E66" s="211" t="s">
        <v>267</v>
      </c>
    </row>
    <row r="67" spans="2:5">
      <c r="B67" s="216"/>
      <c r="C67" s="216"/>
      <c r="D67" s="209" t="s">
        <v>269</v>
      </c>
      <c r="E67" s="209" t="s">
        <v>269</v>
      </c>
    </row>
    <row r="68" spans="2:5">
      <c r="B68" s="216"/>
      <c r="C68" s="216"/>
      <c r="D68" s="211" t="s">
        <v>277</v>
      </c>
      <c r="E68" s="211" t="s">
        <v>277</v>
      </c>
    </row>
    <row r="69" spans="2:5">
      <c r="B69" s="216"/>
      <c r="C69" s="216"/>
      <c r="D69" s="217" t="s">
        <v>280</v>
      </c>
      <c r="E69" s="217" t="s">
        <v>280</v>
      </c>
    </row>
    <row r="70" spans="2:5">
      <c r="B70" s="216"/>
      <c r="C70" s="216"/>
      <c r="D70" s="216"/>
      <c r="E70" s="216"/>
    </row>
  </sheetData>
  <sheetProtection sheet="1" objects="1" scenarios="1"/>
  <pageMargins left="0.7" right="0.7" top="0.75" bottom="0.75" header="0.3" footer="0.3"/>
  <pageSetup paperSize="9" scale="77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0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100</v>
      </c>
      <c r="E9" s="116"/>
      <c r="F9" s="112"/>
      <c r="G9" s="117"/>
      <c r="H9" s="122"/>
      <c r="I9" s="122" t="s">
        <v>16</v>
      </c>
      <c r="K9" s="148">
        <f>D16</f>
        <v>0.6</v>
      </c>
      <c r="L9" s="117"/>
      <c r="M9" s="112"/>
      <c r="N9" s="116"/>
      <c r="O9" s="116"/>
      <c r="P9" s="122" t="s">
        <v>17</v>
      </c>
      <c r="Q9" s="153">
        <f>Q17*K9</f>
        <v>428.22</v>
      </c>
      <c r="R9" s="153"/>
      <c r="S9" s="112"/>
      <c r="T9" s="117"/>
      <c r="U9" s="116"/>
      <c r="V9" s="122" t="s">
        <v>18</v>
      </c>
      <c r="W9" s="158">
        <f>Q9*Q13*D10*D9</f>
        <v>83.5029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1.5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10000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20000</v>
      </c>
      <c r="R12" s="150"/>
      <c r="S12" s="112"/>
      <c r="T12" s="117"/>
      <c r="U12" s="116"/>
      <c r="V12" s="122" t="s">
        <v>27</v>
      </c>
      <c r="W12" s="158">
        <f>Q14*D9</f>
        <v>2340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54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0.65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23.4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369.98208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0.6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0.66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713.7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642.33</v>
      </c>
      <c r="R18" s="164"/>
      <c r="S18" s="112"/>
      <c r="T18" s="117"/>
      <c r="U18" s="116"/>
      <c r="V18" s="122" t="s">
        <v>27</v>
      </c>
      <c r="W18" s="158">
        <f>Q26*Q24</f>
        <v>245.883924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3.6998208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471.042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v>30</v>
      </c>
      <c r="R24" s="150"/>
      <c r="S24" s="112"/>
      <c r="T24" s="117"/>
      <c r="U24" s="116"/>
      <c r="V24" s="126" t="s">
        <v>47</v>
      </c>
      <c r="W24" s="169">
        <v>2600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2600</v>
      </c>
      <c r="X25" s="117"/>
    </row>
    <row r="26" ht="15" spans="2:24">
      <c r="B26" s="113"/>
      <c r="C26" s="135" t="s">
        <v>49</v>
      </c>
      <c r="D26" s="138">
        <v>25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8.1961308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530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530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3039.368904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36472.426848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27512.426848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0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100</v>
      </c>
      <c r="E9" s="116"/>
      <c r="F9" s="112"/>
      <c r="G9" s="117"/>
      <c r="H9" s="122"/>
      <c r="I9" s="122" t="s">
        <v>16</v>
      </c>
      <c r="K9" s="148">
        <f>D16</f>
        <v>0.6</v>
      </c>
      <c r="L9" s="117"/>
      <c r="M9" s="112"/>
      <c r="N9" s="116"/>
      <c r="O9" s="116"/>
      <c r="P9" s="122" t="s">
        <v>17</v>
      </c>
      <c r="Q9" s="153">
        <f>Q17*K9</f>
        <v>2122.8</v>
      </c>
      <c r="R9" s="153"/>
      <c r="S9" s="112"/>
      <c r="T9" s="117"/>
      <c r="U9" s="116"/>
      <c r="V9" s="122" t="s">
        <v>18</v>
      </c>
      <c r="W9" s="158">
        <f>Q9*Q13*D10*D9</f>
        <v>551.928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500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1000</v>
      </c>
      <c r="R12" s="150"/>
      <c r="S12" s="112"/>
      <c r="T12" s="117"/>
      <c r="U12" s="116"/>
      <c r="V12" s="122" t="s">
        <v>27</v>
      </c>
      <c r="W12" s="158">
        <f>Q14*D9</f>
        <v>156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580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0.4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1.56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2445.4656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0.6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0.66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3538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3184.2</v>
      </c>
      <c r="R18" s="164"/>
      <c r="S18" s="112"/>
      <c r="T18" s="117"/>
      <c r="U18" s="116"/>
      <c r="V18" s="122" t="s">
        <v>27</v>
      </c>
      <c r="W18" s="158">
        <f>Q26*Q24</f>
        <v>1218.91176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24.454656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4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2335.08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v>30</v>
      </c>
      <c r="R24" s="150"/>
      <c r="S24" s="112"/>
      <c r="T24" s="117"/>
      <c r="U24" s="116"/>
      <c r="V24" s="126" t="s">
        <v>47</v>
      </c>
      <c r="W24" s="169">
        <v>2600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2600</v>
      </c>
      <c r="X25" s="117"/>
    </row>
    <row r="26" ht="15" spans="2:24">
      <c r="B26" s="113"/>
      <c r="C26" s="135" t="s">
        <v>49</v>
      </c>
      <c r="D26" s="138">
        <v>25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40.630392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530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1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530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4372.30536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52467.66432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43507.66432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AK38"/>
  <sheetViews>
    <sheetView showGridLines="0" workbookViewId="0">
      <selection activeCell="A1" sqref="A1"/>
    </sheetView>
  </sheetViews>
  <sheetFormatPr defaultColWidth="14.4285714285714" defaultRowHeight="15.75" customHeight="1"/>
  <cols>
    <col min="1" max="2" width="2.42857142857143" customWidth="1"/>
    <col min="3" max="3" width="23.1428571428571" customWidth="1"/>
    <col min="4" max="4" width="13.5714285714286" customWidth="1"/>
    <col min="5" max="5" width="3.14285714285714" customWidth="1"/>
    <col min="6" max="6" width="2.85714285714286" customWidth="1"/>
    <col min="7" max="7" width="3.28571428571429" customWidth="1"/>
    <col min="8" max="8" width="3" customWidth="1"/>
    <col min="9" max="9" width="17" customWidth="1"/>
    <col min="10" max="10" width="6.14285714285714" customWidth="1"/>
    <col min="11" max="11" width="8.57142857142857" customWidth="1"/>
    <col min="12" max="12" width="2.85714285714286" customWidth="1"/>
    <col min="13" max="13" width="2.57142857142857" customWidth="1"/>
    <col min="14" max="14" width="2.85714285714286" customWidth="1"/>
    <col min="15" max="15" width="3.71428571428571" customWidth="1"/>
    <col min="16" max="16" width="27.5714285714286" customWidth="1"/>
    <col min="17" max="17" width="11.4285714285714" customWidth="1"/>
    <col min="18" max="18" width="3.57142857142857" customWidth="1"/>
    <col min="19" max="19" width="2.42857142857143" customWidth="1"/>
    <col min="20" max="20" width="2.71428571428571" customWidth="1"/>
    <col min="21" max="21" width="3.57142857142857" customWidth="1"/>
    <col min="22" max="22" width="25.5714285714286" customWidth="1"/>
    <col min="23" max="23" width="16.1428571428571" customWidth="1"/>
    <col min="24" max="24" width="3.42857142857143" customWidth="1"/>
    <col min="25" max="25" width="3.57142857142857" customWidth="1"/>
    <col min="26" max="26" width="16.2857142857143" customWidth="1"/>
    <col min="27" max="27" width="10.1428571428571" customWidth="1"/>
    <col min="28" max="28" width="8.71428571428571" customWidth="1"/>
    <col min="29" max="29" width="12" customWidth="1"/>
    <col min="30" max="30" width="12.2857142857143" customWidth="1"/>
    <col min="31" max="31" width="10.8571428571429" customWidth="1"/>
    <col min="32" max="32" width="11.5714285714286" customWidth="1"/>
    <col min="33" max="33" width="9.57142857142857" customWidth="1"/>
    <col min="34" max="34" width="10.4285714285714" customWidth="1"/>
  </cols>
  <sheetData>
    <row r="1" ht="49.5" customHeight="1" spans="3:3">
      <c r="C1" s="193" t="s">
        <v>281</v>
      </c>
    </row>
    <row r="2" ht="12" customHeight="1"/>
    <row r="3" ht="19.5" customHeight="1" spans="2:24">
      <c r="B3" s="109"/>
      <c r="C3" s="110" t="s">
        <v>1</v>
      </c>
      <c r="D3" s="110"/>
      <c r="E3" s="111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3"/>
    </row>
    <row r="4" ht="21" customHeight="1" spans="2:24">
      <c r="B4" s="109"/>
      <c r="C4" s="110" t="s">
        <v>2</v>
      </c>
      <c r="D4" s="110"/>
      <c r="E4" s="111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9" customHeight="1" spans="3:24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spans="2:33">
      <c r="B6" s="4"/>
      <c r="C6" s="5" t="s">
        <v>3</v>
      </c>
      <c r="D6" s="6"/>
      <c r="E6" s="7"/>
      <c r="F6" s="3"/>
      <c r="G6" s="8" t="s">
        <v>4</v>
      </c>
      <c r="J6" s="46"/>
      <c r="K6" s="47"/>
      <c r="L6" s="8"/>
      <c r="M6" s="48"/>
      <c r="N6" s="49" t="s">
        <v>5</v>
      </c>
      <c r="Q6" s="64"/>
      <c r="R6" s="64"/>
      <c r="S6" s="3"/>
      <c r="T6" s="65" t="s">
        <v>6</v>
      </c>
      <c r="W6" s="66"/>
      <c r="X6" s="66"/>
      <c r="Z6" s="180"/>
      <c r="AC6" s="181"/>
      <c r="AD6" s="181"/>
      <c r="AE6" s="182"/>
      <c r="AF6" s="182"/>
      <c r="AG6" s="182"/>
    </row>
    <row r="7" ht="21" spans="2:32">
      <c r="B7" s="113"/>
      <c r="C7" s="114"/>
      <c r="D7" s="115"/>
      <c r="E7" s="116"/>
      <c r="F7" s="112"/>
      <c r="G7" s="117"/>
      <c r="H7" s="117"/>
      <c r="I7" s="117"/>
      <c r="J7" s="117"/>
      <c r="K7" s="144"/>
      <c r="L7" s="117"/>
      <c r="M7" s="112"/>
      <c r="N7" s="117"/>
      <c r="O7" s="117"/>
      <c r="P7" s="117"/>
      <c r="Q7" s="144"/>
      <c r="R7" s="144"/>
      <c r="S7" s="112"/>
      <c r="T7" s="117"/>
      <c r="U7" s="117"/>
      <c r="V7" s="117"/>
      <c r="W7" s="144"/>
      <c r="X7" s="117"/>
      <c r="Z7" s="183"/>
      <c r="AA7" s="184" t="s">
        <v>7</v>
      </c>
      <c r="AB7" s="184" t="s">
        <v>8</v>
      </c>
      <c r="AC7" s="184" t="s">
        <v>9</v>
      </c>
      <c r="AD7" s="184" t="s">
        <v>10</v>
      </c>
      <c r="AE7" s="185" t="s">
        <v>11</v>
      </c>
      <c r="AF7" s="185" t="s">
        <v>8</v>
      </c>
    </row>
    <row r="8" spans="2:37">
      <c r="B8" s="113"/>
      <c r="C8" s="118" t="s">
        <v>12</v>
      </c>
      <c r="D8" s="119">
        <v>1</v>
      </c>
      <c r="E8" s="116"/>
      <c r="F8" s="112"/>
      <c r="G8" s="117"/>
      <c r="H8" s="120" t="s">
        <v>13</v>
      </c>
      <c r="I8" s="145"/>
      <c r="J8" s="146"/>
      <c r="K8" s="147"/>
      <c r="L8" s="117"/>
      <c r="M8" s="112"/>
      <c r="N8" s="116"/>
      <c r="O8" s="120" t="s">
        <v>13</v>
      </c>
      <c r="P8" s="145"/>
      <c r="Q8" s="147"/>
      <c r="R8" s="150"/>
      <c r="S8" s="112"/>
      <c r="T8" s="117"/>
      <c r="U8" s="157" t="s">
        <v>13</v>
      </c>
      <c r="V8" s="145"/>
      <c r="W8" s="147"/>
      <c r="X8" s="117"/>
      <c r="Z8" s="186" t="s">
        <v>14</v>
      </c>
      <c r="AA8" s="187">
        <v>3</v>
      </c>
      <c r="AB8" s="188">
        <v>0.0009</v>
      </c>
      <c r="AC8" s="189">
        <v>33137</v>
      </c>
      <c r="AD8" s="188">
        <v>0.007</v>
      </c>
      <c r="AE8" s="190">
        <v>35</v>
      </c>
      <c r="AF8" s="188">
        <f>AVERAGE(AF9:AF11)</f>
        <v>0.0383333333333333</v>
      </c>
      <c r="AG8" s="89"/>
      <c r="AH8" s="89"/>
      <c r="AI8" s="89"/>
      <c r="AJ8" s="92"/>
      <c r="AK8" s="92"/>
    </row>
    <row r="9" spans="2:35">
      <c r="B9" s="113"/>
      <c r="C9" s="118" t="s">
        <v>15</v>
      </c>
      <c r="D9" s="121">
        <v>35</v>
      </c>
      <c r="E9" s="116"/>
      <c r="F9" s="112"/>
      <c r="G9" s="117"/>
      <c r="H9" s="122"/>
      <c r="I9" s="122" t="s">
        <v>16</v>
      </c>
      <c r="K9" s="148">
        <f>D16</f>
        <v>0.6</v>
      </c>
      <c r="L9" s="117"/>
      <c r="M9" s="112"/>
      <c r="N9" s="116"/>
      <c r="O9" s="116"/>
      <c r="P9" s="122" t="s">
        <v>17</v>
      </c>
      <c r="Q9" s="153">
        <f>Q17*K9</f>
        <v>892.125</v>
      </c>
      <c r="R9" s="153"/>
      <c r="S9" s="112"/>
      <c r="T9" s="117"/>
      <c r="U9" s="116"/>
      <c r="V9" s="122" t="s">
        <v>18</v>
      </c>
      <c r="W9" s="158">
        <f>Q9*Q13*D10*D9</f>
        <v>81.183375</v>
      </c>
      <c r="X9" s="117"/>
      <c r="Z9" s="186" t="s">
        <v>19</v>
      </c>
      <c r="AA9" s="187">
        <v>4</v>
      </c>
      <c r="AB9" s="188">
        <v>0.0009</v>
      </c>
      <c r="AC9" s="189">
        <v>42753</v>
      </c>
      <c r="AD9" s="188">
        <v>0.0059</v>
      </c>
      <c r="AE9" s="190">
        <v>40</v>
      </c>
      <c r="AF9" s="188">
        <v>0.052</v>
      </c>
      <c r="AG9" s="89"/>
      <c r="AH9" s="89"/>
      <c r="AI9" s="89"/>
    </row>
    <row r="10" spans="2:35">
      <c r="B10" s="113"/>
      <c r="C10" s="118" t="s">
        <v>20</v>
      </c>
      <c r="D10" s="123">
        <v>2</v>
      </c>
      <c r="E10" s="116"/>
      <c r="F10" s="112"/>
      <c r="G10" s="117"/>
      <c r="H10" s="122"/>
      <c r="I10" s="122"/>
      <c r="K10" s="149"/>
      <c r="L10" s="117"/>
      <c r="M10" s="112"/>
      <c r="N10" s="116"/>
      <c r="O10" s="116"/>
      <c r="P10" s="122"/>
      <c r="Q10" s="116"/>
      <c r="R10" s="153"/>
      <c r="S10" s="112"/>
      <c r="T10" s="117"/>
      <c r="U10" s="116"/>
      <c r="V10" s="159"/>
      <c r="W10" s="160"/>
      <c r="X10" s="117"/>
      <c r="Z10" s="186" t="s">
        <v>21</v>
      </c>
      <c r="AA10" s="187">
        <v>2</v>
      </c>
      <c r="AB10" s="188">
        <v>0.0013</v>
      </c>
      <c r="AC10" s="189">
        <v>29052</v>
      </c>
      <c r="AD10" s="188">
        <v>0.0064</v>
      </c>
      <c r="AE10" s="190">
        <v>28</v>
      </c>
      <c r="AF10" s="188">
        <v>0.029</v>
      </c>
      <c r="AG10" s="91"/>
      <c r="AH10" s="89"/>
      <c r="AI10" s="89"/>
    </row>
    <row r="11" spans="2:35">
      <c r="B11" s="113"/>
      <c r="C11" s="124"/>
      <c r="D11" s="125"/>
      <c r="E11" s="116"/>
      <c r="F11" s="112"/>
      <c r="G11" s="117"/>
      <c r="H11" s="120" t="s">
        <v>22</v>
      </c>
      <c r="I11" s="145"/>
      <c r="J11" s="145"/>
      <c r="K11" s="150"/>
      <c r="L11" s="117"/>
      <c r="M11" s="112"/>
      <c r="N11" s="116"/>
      <c r="O11" s="120" t="s">
        <v>22</v>
      </c>
      <c r="P11" s="145"/>
      <c r="Q11" s="150"/>
      <c r="R11" s="149"/>
      <c r="S11" s="112"/>
      <c r="T11" s="117"/>
      <c r="U11" s="157" t="s">
        <v>22</v>
      </c>
      <c r="V11" s="145"/>
      <c r="W11" s="147"/>
      <c r="X11" s="117"/>
      <c r="Z11" s="186" t="s">
        <v>23</v>
      </c>
      <c r="AA11" s="187">
        <v>2</v>
      </c>
      <c r="AB11" s="188">
        <v>0.0006</v>
      </c>
      <c r="AC11" s="189">
        <v>27391</v>
      </c>
      <c r="AD11" s="188">
        <v>0.007</v>
      </c>
      <c r="AE11" s="190">
        <v>23</v>
      </c>
      <c r="AF11" s="188">
        <v>0.034</v>
      </c>
      <c r="AG11" s="91"/>
      <c r="AH11" s="89"/>
      <c r="AI11" s="89"/>
    </row>
    <row r="12" spans="2:35">
      <c r="B12" s="113"/>
      <c r="C12" s="118" t="s">
        <v>24</v>
      </c>
      <c r="D12" s="119">
        <v>10000</v>
      </c>
      <c r="E12" s="116"/>
      <c r="F12" s="112"/>
      <c r="G12" s="116"/>
      <c r="H12" s="126"/>
      <c r="I12" s="126" t="s">
        <v>25</v>
      </c>
      <c r="K12" s="151">
        <v>2</v>
      </c>
      <c r="L12" s="117"/>
      <c r="M12" s="112"/>
      <c r="N12" s="116"/>
      <c r="O12" s="116"/>
      <c r="P12" s="152" t="s">
        <v>26</v>
      </c>
      <c r="Q12" s="161">
        <f>D30*D12</f>
        <v>20000</v>
      </c>
      <c r="R12" s="150"/>
      <c r="S12" s="112"/>
      <c r="T12" s="117"/>
      <c r="U12" s="116"/>
      <c r="V12" s="122" t="s">
        <v>27</v>
      </c>
      <c r="W12" s="158">
        <f>Q14*D9</f>
        <v>906.36</v>
      </c>
      <c r="X12" s="117"/>
      <c r="Z12" s="88"/>
      <c r="AA12" s="88"/>
      <c r="AB12" s="88"/>
      <c r="AC12" s="88"/>
      <c r="AD12" s="89"/>
      <c r="AF12" s="88"/>
      <c r="AG12" s="91"/>
      <c r="AH12" s="89"/>
      <c r="AI12" s="89"/>
    </row>
    <row r="13" spans="2:35">
      <c r="B13" s="113"/>
      <c r="C13" s="118" t="s">
        <v>28</v>
      </c>
      <c r="D13" s="123">
        <v>150</v>
      </c>
      <c r="E13" s="116"/>
      <c r="F13" s="112"/>
      <c r="G13" s="116"/>
      <c r="H13" s="116"/>
      <c r="I13" s="116"/>
      <c r="J13" s="116"/>
      <c r="K13" s="150"/>
      <c r="L13" s="117"/>
      <c r="M13" s="112"/>
      <c r="N13" s="116"/>
      <c r="O13" s="116"/>
      <c r="P13" s="152" t="s">
        <v>29</v>
      </c>
      <c r="Q13" s="162">
        <f>IF(D21="Global",AB8,IF(D21="Americas",AB9,IF(D21="APAC",AB10,IF(D21="EMEA",AB11))))</f>
        <v>0.0013</v>
      </c>
      <c r="R13" s="153"/>
      <c r="S13" s="112"/>
      <c r="T13" s="117"/>
      <c r="U13" s="116"/>
      <c r="V13" s="116"/>
      <c r="W13" s="116"/>
      <c r="X13" s="117"/>
      <c r="Z13" s="88"/>
      <c r="AA13" s="88"/>
      <c r="AB13" s="88"/>
      <c r="AC13" s="88"/>
      <c r="AD13" s="89"/>
      <c r="AF13" s="88"/>
      <c r="AG13" s="91"/>
      <c r="AH13" s="89"/>
      <c r="AI13" s="89"/>
    </row>
    <row r="14" spans="2:35">
      <c r="B14" s="113"/>
      <c r="C14" s="118" t="s">
        <v>30</v>
      </c>
      <c r="D14" s="127">
        <v>0.65</v>
      </c>
      <c r="E14" s="116"/>
      <c r="F14" s="112"/>
      <c r="G14" s="116"/>
      <c r="H14" s="120" t="s">
        <v>31</v>
      </c>
      <c r="I14" s="145"/>
      <c r="J14" s="145"/>
      <c r="K14" s="150"/>
      <c r="L14" s="117"/>
      <c r="M14" s="112"/>
      <c r="N14" s="116"/>
      <c r="O14" s="116"/>
      <c r="P14" s="122" t="s">
        <v>32</v>
      </c>
      <c r="Q14" s="153">
        <f>Q13*Q12*D29*D28*D10</f>
        <v>25.896</v>
      </c>
      <c r="R14" s="153"/>
      <c r="S14" s="112"/>
      <c r="T14" s="117"/>
      <c r="U14" s="157" t="s">
        <v>33</v>
      </c>
      <c r="V14" s="145"/>
      <c r="W14" s="147"/>
      <c r="X14" s="117"/>
      <c r="Z14" s="88"/>
      <c r="AA14" s="88"/>
      <c r="AB14" s="88"/>
      <c r="AC14" s="88"/>
      <c r="AD14" s="89"/>
      <c r="AF14" s="88"/>
      <c r="AG14" s="91"/>
      <c r="AH14" s="89"/>
      <c r="AI14" s="89"/>
    </row>
    <row r="15" spans="2:35">
      <c r="B15" s="113"/>
      <c r="C15" s="124"/>
      <c r="D15" s="125"/>
      <c r="E15" s="116"/>
      <c r="F15" s="112"/>
      <c r="G15" s="116"/>
      <c r="H15" s="126"/>
      <c r="I15" s="126" t="s">
        <v>25</v>
      </c>
      <c r="K15" s="151">
        <v>3</v>
      </c>
      <c r="L15" s="117"/>
      <c r="M15" s="112"/>
      <c r="N15" s="116"/>
      <c r="O15" s="113"/>
      <c r="P15" s="113"/>
      <c r="Q15" s="113"/>
      <c r="R15" s="149"/>
      <c r="S15" s="112"/>
      <c r="T15" s="117"/>
      <c r="U15" s="116"/>
      <c r="V15" s="122" t="s">
        <v>27</v>
      </c>
      <c r="W15" s="158">
        <f>Q20*D9</f>
        <v>298.554984</v>
      </c>
      <c r="X15" s="117"/>
      <c r="Z15" s="88"/>
      <c r="AA15" s="88"/>
      <c r="AB15" s="88"/>
      <c r="AC15" s="88"/>
      <c r="AD15" s="89"/>
      <c r="AF15" s="88"/>
      <c r="AG15" s="91"/>
      <c r="AH15" s="89"/>
      <c r="AI15" s="89"/>
    </row>
    <row r="16" spans="2:35">
      <c r="B16" s="9"/>
      <c r="C16" s="118" t="s">
        <v>34</v>
      </c>
      <c r="D16" s="127">
        <v>0.6</v>
      </c>
      <c r="E16" s="9"/>
      <c r="F16" s="112"/>
      <c r="G16" s="117"/>
      <c r="H16" s="122"/>
      <c r="I16" s="122"/>
      <c r="K16" s="153"/>
      <c r="L16" s="117"/>
      <c r="M16" s="112"/>
      <c r="N16" s="116"/>
      <c r="O16" s="120" t="s">
        <v>31</v>
      </c>
      <c r="P16" s="145"/>
      <c r="Q16" s="150"/>
      <c r="R16" s="116"/>
      <c r="S16" s="112"/>
      <c r="T16" s="117"/>
      <c r="U16" s="116"/>
      <c r="V16" s="116"/>
      <c r="W16" s="116"/>
      <c r="X16" s="117"/>
      <c r="Z16" s="88"/>
      <c r="AA16" s="88"/>
      <c r="AB16" s="88"/>
      <c r="AC16" s="88"/>
      <c r="AD16" s="89"/>
      <c r="AF16" s="88"/>
      <c r="AG16" s="91"/>
      <c r="AH16" s="89"/>
      <c r="AI16" s="89"/>
    </row>
    <row r="17" spans="2:35">
      <c r="B17" s="9"/>
      <c r="C17" s="118" t="s">
        <v>35</v>
      </c>
      <c r="D17" s="127">
        <v>0.3</v>
      </c>
      <c r="E17" s="9"/>
      <c r="F17" s="112"/>
      <c r="G17" s="116"/>
      <c r="H17" s="120" t="s">
        <v>36</v>
      </c>
      <c r="I17" s="145"/>
      <c r="J17" s="145"/>
      <c r="K17" s="150"/>
      <c r="L17" s="117"/>
      <c r="M17" s="112"/>
      <c r="N17" s="116"/>
      <c r="O17" s="116"/>
      <c r="P17" s="122" t="s">
        <v>37</v>
      </c>
      <c r="Q17" s="153">
        <f>(30.5/D10)*D13*D14</f>
        <v>1486.875</v>
      </c>
      <c r="R17" s="150"/>
      <c r="S17" s="112"/>
      <c r="T17" s="117"/>
      <c r="U17" s="157" t="s">
        <v>36</v>
      </c>
      <c r="V17" s="145"/>
      <c r="W17" s="147"/>
      <c r="X17" s="117"/>
      <c r="Z17" s="88"/>
      <c r="AA17" s="88"/>
      <c r="AB17" s="88"/>
      <c r="AC17" s="88"/>
      <c r="AD17" s="89"/>
      <c r="AF17" s="88"/>
      <c r="AG17" s="91"/>
      <c r="AH17" s="89"/>
      <c r="AI17" s="89"/>
    </row>
    <row r="18" ht="21" customHeight="1" spans="2:35">
      <c r="B18" s="113"/>
      <c r="C18" s="124"/>
      <c r="D18" s="125"/>
      <c r="E18" s="116"/>
      <c r="F18" s="112"/>
      <c r="G18" s="113"/>
      <c r="H18" s="126"/>
      <c r="I18" s="126" t="s">
        <v>25</v>
      </c>
      <c r="K18" s="151" t="s">
        <v>38</v>
      </c>
      <c r="L18" s="113"/>
      <c r="M18" s="112"/>
      <c r="N18" s="116"/>
      <c r="O18" s="116"/>
      <c r="P18" s="152" t="s">
        <v>26</v>
      </c>
      <c r="Q18" s="163">
        <f>Q17*D16*D31</f>
        <v>1338.1875</v>
      </c>
      <c r="R18" s="164"/>
      <c r="S18" s="112"/>
      <c r="T18" s="117"/>
      <c r="U18" s="116"/>
      <c r="V18" s="122" t="s">
        <v>27</v>
      </c>
      <c r="W18" s="158">
        <f>Q26*Q24</f>
        <v>322.10173125</v>
      </c>
      <c r="X18" s="117"/>
      <c r="Z18" s="88"/>
      <c r="AA18" s="88"/>
      <c r="AB18" s="88"/>
      <c r="AC18" s="88"/>
      <c r="AD18" s="89"/>
      <c r="AF18" s="88"/>
      <c r="AG18" s="91"/>
      <c r="AH18" s="89"/>
      <c r="AI18" s="89"/>
    </row>
    <row r="19" ht="21.75" spans="2:35">
      <c r="B19" s="128"/>
      <c r="C19" s="129" t="s">
        <v>39</v>
      </c>
      <c r="D19" s="130"/>
      <c r="E19" s="131"/>
      <c r="F19" s="112"/>
      <c r="G19" s="117"/>
      <c r="H19" s="122"/>
      <c r="I19" s="122"/>
      <c r="K19" s="153"/>
      <c r="L19" s="116"/>
      <c r="M19" s="112"/>
      <c r="N19" s="116"/>
      <c r="O19" s="116"/>
      <c r="P19" s="152" t="s">
        <v>29</v>
      </c>
      <c r="Q19" s="162">
        <f>IF(D21="Global",AD8,IF(D21="Americas",AD9,IF(D21="APAC",AD10,IF(D21="EMEA",AD11))))</f>
        <v>0.0064</v>
      </c>
      <c r="R19" s="164"/>
      <c r="S19" s="112"/>
      <c r="T19" s="117"/>
      <c r="U19" s="113"/>
      <c r="V19" s="113"/>
      <c r="W19" s="113"/>
      <c r="X19" s="117"/>
      <c r="Z19" s="88"/>
      <c r="AA19" s="88"/>
      <c r="AB19" s="88"/>
      <c r="AC19" s="88"/>
      <c r="AD19" s="89"/>
      <c r="AF19" s="88"/>
      <c r="AG19" s="91"/>
      <c r="AH19" s="89"/>
      <c r="AI19" s="89"/>
    </row>
    <row r="20" ht="21.75" spans="2:35">
      <c r="B20" s="113"/>
      <c r="C20" s="114"/>
      <c r="D20" s="115"/>
      <c r="E20" s="116"/>
      <c r="F20" s="112"/>
      <c r="M20" s="112"/>
      <c r="N20" s="116"/>
      <c r="O20" s="122"/>
      <c r="P20" s="122" t="s">
        <v>32</v>
      </c>
      <c r="Q20" s="153">
        <f>Q19*Q18*D10*D28*D29</f>
        <v>8.5301424</v>
      </c>
      <c r="R20" s="164"/>
      <c r="S20" s="112"/>
      <c r="Z20" s="88"/>
      <c r="AA20" s="88"/>
      <c r="AB20" s="88"/>
      <c r="AC20" s="88"/>
      <c r="AD20" s="89"/>
      <c r="AF20" s="88"/>
      <c r="AG20" s="91"/>
      <c r="AH20" s="89"/>
      <c r="AI20" s="89"/>
    </row>
    <row r="21" ht="21.75" spans="2:24">
      <c r="B21" s="113"/>
      <c r="C21" s="118" t="s">
        <v>40</v>
      </c>
      <c r="D21" s="119" t="s">
        <v>23</v>
      </c>
      <c r="E21" s="116"/>
      <c r="F21" s="112"/>
      <c r="M21" s="112"/>
      <c r="N21" s="116"/>
      <c r="O21" s="113"/>
      <c r="P21" s="113"/>
      <c r="Q21" s="113"/>
      <c r="R21" s="149"/>
      <c r="S21" s="112"/>
      <c r="T21" s="165" t="s">
        <v>41</v>
      </c>
      <c r="W21" s="166"/>
      <c r="X21" s="166"/>
    </row>
    <row r="22" spans="2:24">
      <c r="B22" s="113"/>
      <c r="C22" s="118" t="s">
        <v>42</v>
      </c>
      <c r="D22" s="132">
        <v>3.5</v>
      </c>
      <c r="E22" s="116"/>
      <c r="F22" s="112"/>
      <c r="G22" s="112"/>
      <c r="I22" s="134"/>
      <c r="J22" s="134"/>
      <c r="K22" s="134"/>
      <c r="L22" s="112"/>
      <c r="M22" s="112"/>
      <c r="N22" s="116"/>
      <c r="O22" s="120" t="s">
        <v>36</v>
      </c>
      <c r="P22" s="145"/>
      <c r="Q22" s="150"/>
      <c r="R22" s="116"/>
      <c r="S22" s="112"/>
      <c r="T22" s="117"/>
      <c r="U22" s="117"/>
      <c r="V22" s="117"/>
      <c r="W22" s="144"/>
      <c r="X22" s="117"/>
    </row>
    <row r="23" spans="2:24">
      <c r="B23" s="113"/>
      <c r="C23" s="124"/>
      <c r="D23" s="133"/>
      <c r="E23" s="116"/>
      <c r="F23" s="112"/>
      <c r="G23" s="112"/>
      <c r="H23" s="134"/>
      <c r="I23" s="134"/>
      <c r="J23" s="134"/>
      <c r="K23" s="134"/>
      <c r="L23" s="112"/>
      <c r="M23" s="112"/>
      <c r="N23" s="116"/>
      <c r="O23" s="116"/>
      <c r="P23" s="122" t="s">
        <v>43</v>
      </c>
      <c r="Q23" s="153">
        <f>(30.5/D10)*D13*D14*D17</f>
        <v>446.0625</v>
      </c>
      <c r="R23" s="150"/>
      <c r="S23" s="112"/>
      <c r="T23" s="117"/>
      <c r="U23" s="167" t="s">
        <v>44</v>
      </c>
      <c r="W23" s="150"/>
      <c r="X23" s="117"/>
    </row>
    <row r="24" spans="2:24">
      <c r="B24" s="113"/>
      <c r="C24" s="135" t="s">
        <v>45</v>
      </c>
      <c r="D24" s="136">
        <f>IF(D21="Global",AA8,IF(D21="Americas",AA9,IF(D21="APAC",AA10,IF(D21="EMEA",AA11))))</f>
        <v>2</v>
      </c>
      <c r="E24" s="116"/>
      <c r="F24" s="112"/>
      <c r="G24" s="112"/>
      <c r="H24" s="134"/>
      <c r="I24" s="134"/>
      <c r="J24" s="134"/>
      <c r="K24" s="134"/>
      <c r="L24" s="112"/>
      <c r="M24" s="112"/>
      <c r="N24" s="116"/>
      <c r="O24" s="116"/>
      <c r="P24" s="152" t="s">
        <v>46</v>
      </c>
      <c r="Q24" s="168">
        <f>D26</f>
        <v>50</v>
      </c>
      <c r="R24" s="150"/>
      <c r="S24" s="112"/>
      <c r="T24" s="117"/>
      <c r="U24" s="116"/>
      <c r="V24" s="126" t="s">
        <v>47</v>
      </c>
      <c r="W24" s="169">
        <v>2274</v>
      </c>
      <c r="X24" s="117"/>
    </row>
    <row r="25" spans="2:24">
      <c r="B25" s="113"/>
      <c r="C25" s="135" t="s">
        <v>24</v>
      </c>
      <c r="D25" s="136">
        <f>IF(D21="Global",AC8,IF(D21="Americas",AC9,IF(D21="APAC",AC10,IF(D21="EMEA",AC11))))</f>
        <v>29052</v>
      </c>
      <c r="E25" s="116"/>
      <c r="F25" s="112"/>
      <c r="G25" s="112"/>
      <c r="H25" s="137"/>
      <c r="I25" s="137"/>
      <c r="J25" s="137"/>
      <c r="K25" s="154"/>
      <c r="L25" s="112"/>
      <c r="M25" s="112"/>
      <c r="N25" s="116"/>
      <c r="O25" s="116"/>
      <c r="P25" s="152" t="s">
        <v>29</v>
      </c>
      <c r="Q25" s="162">
        <f>IF(D21="Global",AF8,IF(D21="Americas",AF9,IF(D21="APAC",AF10,IF(D21="EMEA",AF11))))</f>
        <v>0.029</v>
      </c>
      <c r="R25" s="164"/>
      <c r="S25" s="112"/>
      <c r="T25" s="117"/>
      <c r="U25" s="116"/>
      <c r="V25" s="122" t="s">
        <v>48</v>
      </c>
      <c r="W25" s="158">
        <f>W24*D8</f>
        <v>2274</v>
      </c>
      <c r="X25" s="117"/>
    </row>
    <row r="26" ht="15" spans="2:24">
      <c r="B26" s="113"/>
      <c r="C26" s="135" t="s">
        <v>49</v>
      </c>
      <c r="D26" s="138">
        <v>50</v>
      </c>
      <c r="E26" s="116"/>
      <c r="F26" s="112"/>
      <c r="G26" s="112"/>
      <c r="H26" s="137"/>
      <c r="I26" s="137"/>
      <c r="J26" s="137"/>
      <c r="K26" s="155"/>
      <c r="L26" s="112"/>
      <c r="M26" s="112"/>
      <c r="N26" s="116"/>
      <c r="O26" s="116"/>
      <c r="P26" s="122" t="s">
        <v>36</v>
      </c>
      <c r="Q26" s="153">
        <f>Q25*Q23*D28*D29*D32</f>
        <v>6.442034625</v>
      </c>
      <c r="R26" s="150"/>
      <c r="S26" s="112"/>
      <c r="T26" s="113"/>
      <c r="U26" s="116"/>
      <c r="V26" s="159"/>
      <c r="W26" s="160"/>
      <c r="X26" s="113"/>
    </row>
    <row r="27" ht="15" spans="2:24">
      <c r="B27" s="113"/>
      <c r="C27" s="9"/>
      <c r="D27" s="9"/>
      <c r="E27" s="116"/>
      <c r="F27" s="112"/>
      <c r="G27" s="112"/>
      <c r="H27" s="137"/>
      <c r="I27" s="137"/>
      <c r="J27" s="137"/>
      <c r="K27" s="155"/>
      <c r="L27" s="112"/>
      <c r="M27" s="112"/>
      <c r="N27" s="116"/>
      <c r="O27" s="116"/>
      <c r="P27" s="122"/>
      <c r="Q27" s="153"/>
      <c r="R27" s="150"/>
      <c r="S27" s="112"/>
      <c r="T27" s="117"/>
      <c r="U27" s="167" t="s">
        <v>50</v>
      </c>
      <c r="W27" s="150"/>
      <c r="X27" s="117"/>
    </row>
    <row r="28" spans="2:24">
      <c r="B28" s="113"/>
      <c r="C28" s="139" t="s">
        <v>40</v>
      </c>
      <c r="D28" s="140">
        <f>IF(D21="Global",1,IF(D21="Americas",1.5,IF(D21="APAC",0.6,IF(D21="EMEA",0.8))))</f>
        <v>0.6</v>
      </c>
      <c r="E28" s="116"/>
      <c r="F28" s="112"/>
      <c r="G28" s="112"/>
      <c r="H28" s="137"/>
      <c r="K28" s="155"/>
      <c r="L28" s="112"/>
      <c r="M28" s="112"/>
      <c r="N28" s="112"/>
      <c r="O28" s="156"/>
      <c r="Q28" s="170"/>
      <c r="R28" s="170"/>
      <c r="S28" s="112"/>
      <c r="T28" s="116"/>
      <c r="U28" s="116"/>
      <c r="V28" s="126" t="s">
        <v>51</v>
      </c>
      <c r="W28" s="169">
        <v>526</v>
      </c>
      <c r="X28" s="116"/>
    </row>
    <row r="29" ht="15" spans="2:24">
      <c r="B29" s="116"/>
      <c r="C29" s="139" t="s">
        <v>52</v>
      </c>
      <c r="D29" s="141">
        <f>IF(D22=5,1.34,IF(D22=4.5,1.17,IF(D22=4,1,IF(D22=3.5,0.83,IF(D22=3,0.62)))))</f>
        <v>0.83</v>
      </c>
      <c r="E29" s="116"/>
      <c r="F29" s="112"/>
      <c r="G29" s="112"/>
      <c r="H29" s="137"/>
      <c r="I29" s="137"/>
      <c r="K29" s="155"/>
      <c r="L29" s="112"/>
      <c r="M29" s="112"/>
      <c r="N29" s="112"/>
      <c r="O29" s="112"/>
      <c r="P29" s="137"/>
      <c r="Q29" s="155"/>
      <c r="R29" s="155"/>
      <c r="S29" s="112"/>
      <c r="T29" s="113"/>
      <c r="U29" s="116"/>
      <c r="V29" s="122" t="s">
        <v>53</v>
      </c>
      <c r="W29" s="158">
        <f>W28*D8</f>
        <v>526</v>
      </c>
      <c r="X29" s="113"/>
    </row>
    <row r="30" ht="14.25" spans="2:24">
      <c r="B30" s="9"/>
      <c r="C30" s="142" t="s">
        <v>54</v>
      </c>
      <c r="D30" s="141">
        <f>IF(K12=1,1,IF(K12=2,2,IF(K12=3,2.3,IF(K12=4,2.7))))</f>
        <v>2</v>
      </c>
      <c r="E30" s="9"/>
      <c r="F30" s="112"/>
      <c r="G30" s="112"/>
      <c r="H30" s="137"/>
      <c r="I30" s="137"/>
      <c r="J30" s="137"/>
      <c r="K30" s="155"/>
      <c r="L30" s="112"/>
      <c r="M30" s="112"/>
      <c r="N30" s="112"/>
      <c r="O30" s="112"/>
      <c r="P30" s="137"/>
      <c r="Q30" s="155"/>
      <c r="R30" s="155"/>
      <c r="S30" s="112"/>
      <c r="T30" s="113"/>
      <c r="U30" s="116"/>
      <c r="V30" s="159"/>
      <c r="W30" s="160"/>
      <c r="X30" s="113"/>
    </row>
    <row r="31" ht="14.25" spans="2:19">
      <c r="B31" s="9"/>
      <c r="C31" s="142" t="s">
        <v>55</v>
      </c>
      <c r="D31" s="140">
        <f>IF(K15=1,1,IF(K15=2,1.3,IF(K15=3,1.5,1)))</f>
        <v>1.5</v>
      </c>
      <c r="E31" s="9"/>
      <c r="F31" s="112"/>
      <c r="G31" s="112"/>
      <c r="M31" s="112"/>
      <c r="N31" s="112"/>
      <c r="O31" s="112"/>
      <c r="P31" s="137"/>
      <c r="Q31" s="155"/>
      <c r="R31" s="155"/>
      <c r="S31" s="112"/>
    </row>
    <row r="32" ht="14.25" spans="2:24">
      <c r="B32" s="9"/>
      <c r="C32" s="142" t="s">
        <v>36</v>
      </c>
      <c r="D32" s="140">
        <f>IF(K18="Yes",1,IF(K18="No",0))</f>
        <v>1</v>
      </c>
      <c r="E32" s="9"/>
      <c r="F32" s="112"/>
      <c r="G32" s="112"/>
      <c r="M32" s="112"/>
      <c r="N32" s="112"/>
      <c r="O32" s="112"/>
      <c r="P32" s="112"/>
      <c r="Q32" s="112"/>
      <c r="R32" s="112"/>
      <c r="S32" s="134"/>
      <c r="T32" s="171"/>
      <c r="U32" s="171"/>
      <c r="V32" s="171"/>
      <c r="W32" s="171"/>
      <c r="X32" s="171"/>
    </row>
    <row r="33" ht="14.25" spans="2:24">
      <c r="B33" s="9"/>
      <c r="C33" s="122"/>
      <c r="D33" s="133"/>
      <c r="E33" s="9"/>
      <c r="H33" s="35"/>
      <c r="I33" s="35"/>
      <c r="J33" s="35"/>
      <c r="K33" s="61"/>
      <c r="T33" s="171"/>
      <c r="U33" s="172" t="s">
        <v>6</v>
      </c>
      <c r="V33" s="173"/>
      <c r="W33" s="171"/>
      <c r="X33" s="171"/>
    </row>
    <row r="34" ht="14.25" spans="8:24">
      <c r="H34" s="35"/>
      <c r="I34" s="35"/>
      <c r="J34" s="35"/>
      <c r="K34" s="61"/>
      <c r="T34" s="171"/>
      <c r="U34" s="173"/>
      <c r="V34" s="174" t="s">
        <v>56</v>
      </c>
      <c r="W34" s="175">
        <f>SUM(W15,W12,W9,W18)</f>
        <v>1608.20009025</v>
      </c>
      <c r="X34" s="171"/>
    </row>
    <row r="35" ht="12.75" spans="4:24">
      <c r="D35" s="143"/>
      <c r="H35" s="35"/>
      <c r="I35" s="35"/>
      <c r="J35" s="35"/>
      <c r="K35" s="61"/>
      <c r="T35" s="171"/>
      <c r="U35" s="171"/>
      <c r="V35" s="171" t="s">
        <v>57</v>
      </c>
      <c r="W35" s="176">
        <f>W34*12</f>
        <v>19298.401083</v>
      </c>
      <c r="X35" s="171"/>
    </row>
    <row r="36" ht="12.75" spans="8:24">
      <c r="H36" s="35"/>
      <c r="I36" s="35"/>
      <c r="J36" s="35"/>
      <c r="K36" s="61"/>
      <c r="T36" s="171"/>
      <c r="U36" s="171"/>
      <c r="V36" s="171"/>
      <c r="W36" s="171"/>
      <c r="X36" s="171"/>
    </row>
    <row r="37" ht="12.75" spans="20:24">
      <c r="T37" s="177"/>
      <c r="U37" s="178" t="s">
        <v>58</v>
      </c>
      <c r="W37" s="179">
        <f>W35-(W29*12)-W25</f>
        <v>10712.401083</v>
      </c>
      <c r="X37" s="177"/>
    </row>
    <row r="38" ht="12.75" spans="20:24">
      <c r="T38" s="177"/>
      <c r="X38" s="177"/>
    </row>
  </sheetData>
  <mergeCells count="32">
    <mergeCell ref="C1:X1"/>
    <mergeCell ref="G6:I6"/>
    <mergeCell ref="N6:P6"/>
    <mergeCell ref="T6:V6"/>
    <mergeCell ref="Z6:AB6"/>
    <mergeCell ref="H8:I8"/>
    <mergeCell ref="O8:P8"/>
    <mergeCell ref="U8:V8"/>
    <mergeCell ref="I9:J9"/>
    <mergeCell ref="I10:J10"/>
    <mergeCell ref="H11:J11"/>
    <mergeCell ref="O11:P11"/>
    <mergeCell ref="U11:V11"/>
    <mergeCell ref="I12:J12"/>
    <mergeCell ref="H14:J14"/>
    <mergeCell ref="U14:V14"/>
    <mergeCell ref="I15:J15"/>
    <mergeCell ref="I16:J16"/>
    <mergeCell ref="O16:P16"/>
    <mergeCell ref="H17:J17"/>
    <mergeCell ref="U17:V17"/>
    <mergeCell ref="I18:J18"/>
    <mergeCell ref="I19:J19"/>
    <mergeCell ref="T21:V21"/>
    <mergeCell ref="O22:P22"/>
    <mergeCell ref="U23:V23"/>
    <mergeCell ref="U27:V27"/>
    <mergeCell ref="H28:J28"/>
    <mergeCell ref="O28:P28"/>
    <mergeCell ref="I29:J29"/>
    <mergeCell ref="W37:W38"/>
    <mergeCell ref="U37:V38"/>
  </mergeCells>
  <dataValidations count="5">
    <dataValidation type="list" allowBlank="1" sqref="D22">
      <formula1>"5,4.5,4,3.5,3,N/A"</formula1>
    </dataValidation>
    <dataValidation type="list" allowBlank="1" sqref="K12">
      <formula1>"1,2,3,4"</formula1>
    </dataValidation>
    <dataValidation type="list" allowBlank="1" sqref="K15">
      <formula1>"1,2,3"</formula1>
    </dataValidation>
    <dataValidation type="list" allowBlank="1" sqref="K18">
      <formula1>"Yes,No"</formula1>
    </dataValidation>
    <dataValidation type="list" allowBlank="1" sqref="D21">
      <formula1>"Global,Americas,APAC,EMEA"</formula1>
    </dataValidation>
  </dataValidation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AVANI Sepang</vt:lpstr>
      <vt:lpstr>Luxe Manor HK</vt:lpstr>
      <vt:lpstr>Meetings &amp; Equipment</vt:lpstr>
      <vt:lpstr>Private Events</vt:lpstr>
      <vt:lpstr>Food</vt:lpstr>
      <vt:lpstr>Beverage</vt:lpstr>
      <vt:lpstr>Bubu Resort</vt:lpstr>
      <vt:lpstr>Alma</vt:lpstr>
      <vt:lpstr>Eastiny</vt:lpstr>
      <vt:lpstr>The Scarlet</vt:lpstr>
      <vt:lpstr>Langham</vt:lpstr>
      <vt:lpstr>Harbour Plaza Hotels</vt:lpstr>
      <vt:lpstr>CCR</vt:lpstr>
      <vt:lpstr>GHM (Chedi Ubud)</vt:lpstr>
      <vt:lpstr>Silks Hotel Group</vt:lpstr>
      <vt:lpstr>Eastiny Revenue Predictions</vt:lpstr>
      <vt:lpstr>Amatra Hotels</vt:lpstr>
      <vt:lpstr>Sheet4</vt:lpstr>
      <vt:lpstr>DEVELOPMENT (DON'T USE)</vt:lpstr>
      <vt:lpstr>Reference Sheet</vt:lpstr>
      <vt:lpstr>OLD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清竹姑娘</cp:lastModifiedBy>
  <dcterms:created xsi:type="dcterms:W3CDTF">2020-03-10T13:01:00Z</dcterms:created>
  <cp:lastPrinted>2021-03-11T09:07:00Z</cp:lastPrinted>
  <dcterms:modified xsi:type="dcterms:W3CDTF">2023-04-03T07:10:50Z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088596C385514590AE3E04CCF92BAC6B_13</vt:lpwstr>
  </property>
</Properties>
</file>